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445" tabRatio="598" firstSheet="2" activeTab="5"/>
  </bookViews>
  <sheets>
    <sheet name="BEŽNÉ PRÍJMY" sheetId="1" r:id="rId1"/>
    <sheet name="BEŽNÉ VÝDAVKY" sheetId="2" r:id="rId2"/>
    <sheet name="KAPITÁLOVÉ PRÍJMY" sheetId="3" r:id="rId3"/>
    <sheet name="KAPITÁLVÉ VÝDAVKY" sheetId="4" r:id="rId4"/>
    <sheet name="FINANČNÉ OPERÁCIE" sheetId="5" r:id="rId5"/>
    <sheet name="HOSP." sheetId="6" r:id="rId6"/>
  </sheets>
  <definedNames>
    <definedName name="_xlnm.Print_Area" localSheetId="3">'KAPITÁLVÉ VÝDAVKY'!$A$1:$I$91</definedName>
  </definedNames>
  <calcPr fullCalcOnLoad="1"/>
</workbook>
</file>

<file path=xl/sharedStrings.xml><?xml version="1.0" encoding="utf-8"?>
<sst xmlns="http://schemas.openxmlformats.org/spreadsheetml/2006/main" count="551" uniqueCount="389">
  <si>
    <t>Časť 1.1.2. Výdavky bežného rozpočtu</t>
  </si>
  <si>
    <t>Výdavky verejnej správy, finančná a rozp.</t>
  </si>
  <si>
    <t>mzdy</t>
  </si>
  <si>
    <t>poistné</t>
  </si>
  <si>
    <t>01.1.2</t>
  </si>
  <si>
    <t xml:space="preserve">Finanč.a rozpočt.oblasť </t>
  </si>
  <si>
    <t>01.7</t>
  </si>
  <si>
    <t>Transakcie verejného dlhu</t>
  </si>
  <si>
    <t>Splátka úrokov bankám</t>
  </si>
  <si>
    <t>02.1</t>
  </si>
  <si>
    <t>Vojenská obrana</t>
  </si>
  <si>
    <t>Civilná ochrana</t>
  </si>
  <si>
    <t>03.1</t>
  </si>
  <si>
    <t>Policajné služby</t>
  </si>
  <si>
    <t>03.2</t>
  </si>
  <si>
    <t>Požiarna ochrana</t>
  </si>
  <si>
    <t>Požiarná ochrana</t>
  </si>
  <si>
    <t>04.2</t>
  </si>
  <si>
    <t>Veterinárna oblasť</t>
  </si>
  <si>
    <t>Doprava</t>
  </si>
  <si>
    <t>04.7</t>
  </si>
  <si>
    <t>Cestovný ruch</t>
  </si>
  <si>
    <t>Propagácia, reklama a inzercia</t>
  </si>
  <si>
    <t>UNESCO</t>
  </si>
  <si>
    <t>Slovenské kráľovské mestá</t>
  </si>
  <si>
    <t>04.9</t>
  </si>
  <si>
    <t>Chránená dielňa</t>
  </si>
  <si>
    <t>05.1</t>
  </si>
  <si>
    <t>Nákladanie s odpadmi</t>
  </si>
  <si>
    <t>05.4</t>
  </si>
  <si>
    <t>Stavebný úrad</t>
  </si>
  <si>
    <t xml:space="preserve">Životné prostredie </t>
  </si>
  <si>
    <t>06.1</t>
  </si>
  <si>
    <t>Štátny fond rozvoja bývania</t>
  </si>
  <si>
    <t>06.3</t>
  </si>
  <si>
    <t>Zásobovanie vodou</t>
  </si>
  <si>
    <t>08.1</t>
  </si>
  <si>
    <t>08.2</t>
  </si>
  <si>
    <t>Kultúrne služby</t>
  </si>
  <si>
    <t>Náklady na obradné siene / APO/</t>
  </si>
  <si>
    <t>08.4</t>
  </si>
  <si>
    <t>Náboženské a iné spoločenské služby</t>
  </si>
  <si>
    <t>Školstvo</t>
  </si>
  <si>
    <t>Školský úrad</t>
  </si>
  <si>
    <t>Náklady na  stredisko služieb škole</t>
  </si>
  <si>
    <t>Zariadenia sociálnych služieb - staroba</t>
  </si>
  <si>
    <t>Náklady na jedáleň</t>
  </si>
  <si>
    <t>Náklady na Klub dôchodcov</t>
  </si>
  <si>
    <t>10.4.0.3</t>
  </si>
  <si>
    <t>10.7</t>
  </si>
  <si>
    <t>Komunitná soc. práca</t>
  </si>
  <si>
    <t>Prídavky na deti</t>
  </si>
  <si>
    <t>Stravovanie HMNU</t>
  </si>
  <si>
    <t>Školské potreby - HMNU</t>
  </si>
  <si>
    <t>Jednorazová dávka primator</t>
  </si>
  <si>
    <t>04.1.2.</t>
  </si>
  <si>
    <t>Aktivačná činnosť - koordinátori</t>
  </si>
  <si>
    <t>Rozpočet bež. výdavky celkom</t>
  </si>
  <si>
    <t>Funkčná klasifikácia</t>
  </si>
  <si>
    <t>Položka</t>
  </si>
  <si>
    <t>Ukazovateľ</t>
  </si>
  <si>
    <t>tovary a služby</t>
  </si>
  <si>
    <t>01.1.1.6</t>
  </si>
  <si>
    <t>Auditorská činnosť</t>
  </si>
  <si>
    <t>Poplatky banke</t>
  </si>
  <si>
    <t>01.3.3</t>
  </si>
  <si>
    <t>09.6.0.7</t>
  </si>
  <si>
    <t>Policajné služby-mestská polícia</t>
  </si>
  <si>
    <t>600</t>
  </si>
  <si>
    <t>09.</t>
  </si>
  <si>
    <t>Prísp. neštát. subjekt.- pomoc občanom v hmotnej a sociálnej núdzi</t>
  </si>
  <si>
    <t>10.2.0.1</t>
  </si>
  <si>
    <t>10.2.0.2</t>
  </si>
  <si>
    <t>Ďalšie služby - opatrovateľská služba</t>
  </si>
  <si>
    <t>Detské jasle</t>
  </si>
  <si>
    <t>Časť 1.1.1. Príjmy bežného rozpočtu</t>
  </si>
  <si>
    <t>Daňové príjmy</t>
  </si>
  <si>
    <t>dane z príj.,ziskov kapitalového majetku</t>
  </si>
  <si>
    <t>daň z nehnuteľnosti</t>
  </si>
  <si>
    <t>dane za špecifické služby</t>
  </si>
  <si>
    <t>Za psa FO a PO</t>
  </si>
  <si>
    <t>Za zábavné hracie prístroje</t>
  </si>
  <si>
    <t>Za predajné automaty</t>
  </si>
  <si>
    <t>Daň za ubytovanie</t>
  </si>
  <si>
    <t>Príjem za TKO FO</t>
  </si>
  <si>
    <t>Príjem za TKO PO</t>
  </si>
  <si>
    <t xml:space="preserve"> </t>
  </si>
  <si>
    <t>Dividendy</t>
  </si>
  <si>
    <t>Odvod zo zisku Lesy mesta Levoča</t>
  </si>
  <si>
    <t>príjmy z vlastníctva</t>
  </si>
  <si>
    <t xml:space="preserve">     z prenajatých pozemkov a budov PO</t>
  </si>
  <si>
    <t xml:space="preserve">     z prenajatých pozemkov a budov FO</t>
  </si>
  <si>
    <t xml:space="preserve">     z prenájmu soc. bytov</t>
  </si>
  <si>
    <t>administra .a iné popl. a platby z toho:</t>
  </si>
  <si>
    <t xml:space="preserve">     správne poplatky</t>
  </si>
  <si>
    <t>Poplatky a platby z nepr. a náh.pr.služ.</t>
  </si>
  <si>
    <t>Príjem za opatrovateľskú službu</t>
  </si>
  <si>
    <t>Za stravné v Jedálni-šek</t>
  </si>
  <si>
    <t>Za stravné ostatné -zamestnanci</t>
  </si>
  <si>
    <t>Príjem za stravu Detské Jasle</t>
  </si>
  <si>
    <t>Školné</t>
  </si>
  <si>
    <t>Ďalšie admin.a iné poplatky a platby</t>
  </si>
  <si>
    <t xml:space="preserve">     za znečistenie ovzdušia</t>
  </si>
  <si>
    <t>Úroky z domac.úverov, pôžič. a vkladov</t>
  </si>
  <si>
    <t>Uroky z účtov finančného hospodárenia</t>
  </si>
  <si>
    <t>Iné nedaňové príjmy</t>
  </si>
  <si>
    <t>0,5% - výťažok z lotérie</t>
  </si>
  <si>
    <t>Zahraničné granty</t>
  </si>
  <si>
    <t>Bežné príjmy celkom</t>
  </si>
  <si>
    <t>Kategória</t>
  </si>
  <si>
    <t>Výnos dane z príjmov poukázaný územnej samospráve</t>
  </si>
  <si>
    <t xml:space="preserve">    - z pozemkov</t>
  </si>
  <si>
    <t xml:space="preserve">    - zo stavieb</t>
  </si>
  <si>
    <t xml:space="preserve">    - z bytov</t>
  </si>
  <si>
    <t>Dane z majetku</t>
  </si>
  <si>
    <t>Domáce dane na tovary a služby</t>
  </si>
  <si>
    <t>Nedaňové príjmy</t>
  </si>
  <si>
    <t>príjmy z podnikania a vlastníctva majetku</t>
  </si>
  <si>
    <t>Administratívne poplatky</t>
  </si>
  <si>
    <t>Granty a transfery</t>
  </si>
  <si>
    <t>Tuzemské bežné granty a transfery</t>
  </si>
  <si>
    <t>Granty</t>
  </si>
  <si>
    <t>Transfery na rovnakej úrovni</t>
  </si>
  <si>
    <t>Bežné</t>
  </si>
  <si>
    <t>U k a z o v a t e ľ</t>
  </si>
  <si>
    <t xml:space="preserve">kapitalové príjmy </t>
  </si>
  <si>
    <t xml:space="preserve">     z predaja hnuteľného majetku</t>
  </si>
  <si>
    <t>Kapitalové granty a transfery</t>
  </si>
  <si>
    <t>Kapitalové príjmy celkom</t>
  </si>
  <si>
    <t>Príjem z predaja kapitálových aktív</t>
  </si>
  <si>
    <t>Príjem z predaja pozemkov</t>
  </si>
  <si>
    <t>Kapitálové</t>
  </si>
  <si>
    <t>Časť 1.2. Kapitálový rozpočet</t>
  </si>
  <si>
    <t>Časť 1.2.1. Príjmy kapitálového rozpočtu</t>
  </si>
  <si>
    <t>Časť 1.2.2. Výdavky kapitálového rozpočtu</t>
  </si>
  <si>
    <t>Verejná správa</t>
  </si>
  <si>
    <t>04.4.3</t>
  </si>
  <si>
    <t>Výstavba</t>
  </si>
  <si>
    <t>04.5.1</t>
  </si>
  <si>
    <t>Doprava-výstavba a oprava ciest</t>
  </si>
  <si>
    <t>06.1.0</t>
  </si>
  <si>
    <t>Rozvoj bývania</t>
  </si>
  <si>
    <t>06.4.0</t>
  </si>
  <si>
    <t>Verejné osvetlenie</t>
  </si>
  <si>
    <t>06.6.0</t>
  </si>
  <si>
    <t>Bývanie a občianska vybavenosť</t>
  </si>
  <si>
    <t>08.1.0</t>
  </si>
  <si>
    <t>Rekreačné a športové služby</t>
  </si>
  <si>
    <t>09.1.2.1</t>
  </si>
  <si>
    <t>Rozpočet kapitál. výdavky celkom</t>
  </si>
  <si>
    <t>08.2.0.9</t>
  </si>
  <si>
    <t xml:space="preserve">Vysielacie a vydavateľské služby </t>
  </si>
  <si>
    <t>Vysielanie mestskej televízie</t>
  </si>
  <si>
    <t>LIM</t>
  </si>
  <si>
    <t>03.1.0</t>
  </si>
  <si>
    <t>Rozpočet školstva</t>
  </si>
  <si>
    <t>Údržba ciest - Technické služby</t>
  </si>
  <si>
    <t>06.2.0</t>
  </si>
  <si>
    <t>Rozvoj obcí</t>
  </si>
  <si>
    <t>Verejná zeleň - Technické služby</t>
  </si>
  <si>
    <t>Technické služby</t>
  </si>
  <si>
    <t>Finančné operácie</t>
  </si>
  <si>
    <t>Krátkodobé úvery</t>
  </si>
  <si>
    <t>Dlhodobé úvery</t>
  </si>
  <si>
    <t>Prevod investičný fond</t>
  </si>
  <si>
    <t>Prevod - fond tepelného hospodárstva</t>
  </si>
  <si>
    <t>Finančné operácie celkom</t>
  </si>
  <si>
    <t xml:space="preserve">Časť II. Finančné operácie </t>
  </si>
  <si>
    <t xml:space="preserve">Časť 2.1. Príjmové finančné operácie </t>
  </si>
  <si>
    <t xml:space="preserve">Časť 2.2. Výdavkové finančné operácie </t>
  </si>
  <si>
    <t>Prevod depozitu</t>
  </si>
  <si>
    <t>Príjmy z prevodov peňaž. Fondov obcí FRB</t>
  </si>
  <si>
    <t>Transfer na matričnú činnosť</t>
  </si>
  <si>
    <t>Transfer na školstvo</t>
  </si>
  <si>
    <t>Transfer na stavebný úrad</t>
  </si>
  <si>
    <t>Transfer na školský úrad</t>
  </si>
  <si>
    <t>Transfer na ŠFRB</t>
  </si>
  <si>
    <t>Transfer na prídavky na deti</t>
  </si>
  <si>
    <t>Transfer na dávku v hmotnej núdzi</t>
  </si>
  <si>
    <t>Transfer na aktivačnú činnosť</t>
  </si>
  <si>
    <t>Splácanie bankových úverov dlhodobých</t>
  </si>
  <si>
    <t>Chránená dielňa 1</t>
  </si>
  <si>
    <t>Chránená dielňa 2</t>
  </si>
  <si>
    <t>Chránená dielňa 3</t>
  </si>
  <si>
    <t>Transfer pre ostat. spol. služby</t>
  </si>
  <si>
    <t>Transfer pre členské ZMOS a ostatné</t>
  </si>
  <si>
    <t>Príjmy bežného rozpočtu</t>
  </si>
  <si>
    <t>Výdavky bežného rozpočtu</t>
  </si>
  <si>
    <t>Prebytok/schodok bežného hospodárenia</t>
  </si>
  <si>
    <t>Príjmy kapitáloveho rozpočtu</t>
  </si>
  <si>
    <t>Výdavky kapitálového rozpočtu</t>
  </si>
  <si>
    <t>Prebytok/schodok kapitálového hospodárenia</t>
  </si>
  <si>
    <t>Príjmy - finančné operácie</t>
  </si>
  <si>
    <t>Výdavky - finančné operácie</t>
  </si>
  <si>
    <t>Prebytok/schodok finančného hospodárenia</t>
  </si>
  <si>
    <t>Prebytok/schodok  hospodárenia</t>
  </si>
  <si>
    <t>Rezervný fond</t>
  </si>
  <si>
    <t>01.6</t>
  </si>
  <si>
    <t xml:space="preserve">REKAPITULÁCIA  PRÍJMOV  A  VÝDAVKOV </t>
  </si>
  <si>
    <t>Transfer REGOB</t>
  </si>
  <si>
    <t>Iné všeobecné služby-matrika</t>
  </si>
  <si>
    <t>Ochrana životného prostredia</t>
  </si>
  <si>
    <t>Partnerské mestá</t>
  </si>
  <si>
    <t>leasing</t>
  </si>
  <si>
    <t>REGOB</t>
  </si>
  <si>
    <t>finančný prenájom</t>
  </si>
  <si>
    <t>Káblová televízia - štúdia</t>
  </si>
  <si>
    <t>Transfer KÚCD a PK</t>
  </si>
  <si>
    <t>Príspevok pre MKS</t>
  </si>
  <si>
    <t xml:space="preserve">Informačná kancelária </t>
  </si>
  <si>
    <t>Transfer pre MKS</t>
  </si>
  <si>
    <t>Divadlo - MKS</t>
  </si>
  <si>
    <t>Knižnica - MKS</t>
  </si>
  <si>
    <t>Transfery pre šport a telovýchovu</t>
  </si>
  <si>
    <t>MPV - ostatné</t>
  </si>
  <si>
    <t>kamerový systém</t>
  </si>
  <si>
    <t xml:space="preserve">Za záber VP </t>
  </si>
  <si>
    <t xml:space="preserve">MAS LEV- členské </t>
  </si>
  <si>
    <t xml:space="preserve">     z prenájmu bytov a nebyt. priestorov</t>
  </si>
  <si>
    <t>Príspevok pre TS</t>
  </si>
  <si>
    <t>Veterinár. oblasť /odchyt  psov/</t>
  </si>
  <si>
    <t>Ostat.trans.pre šport a telových.</t>
  </si>
  <si>
    <t>Náklady na školstvo-prenes. výkon</t>
  </si>
  <si>
    <t>Náklady na školstvo-originál. výkon</t>
  </si>
  <si>
    <t>zariadenie opatrovateľ.služby</t>
  </si>
  <si>
    <t>Odvod zisku Staveb.prevádzkareň s.r.o</t>
  </si>
  <si>
    <t>Tranfer na Technické služby</t>
  </si>
  <si>
    <t>ZŠ Francisciho - školská infraštruk.</t>
  </si>
  <si>
    <t>Technické služby-cint. služby</t>
  </si>
  <si>
    <t>Karpatské klim. mestečká</t>
  </si>
  <si>
    <t>Voda - Lev.Lúky</t>
  </si>
  <si>
    <t>Odvod z výťažku 5%</t>
  </si>
  <si>
    <t>Objekt VNsP</t>
  </si>
  <si>
    <t>Splácanie bankových úverov ŠFRB</t>
  </si>
  <si>
    <t>Územný plán mesta</t>
  </si>
  <si>
    <t xml:space="preserve">Prestavba NMP I. etapa </t>
  </si>
  <si>
    <t>630</t>
  </si>
  <si>
    <t>Uzat.a rek.skládky KO D.Stráže</t>
  </si>
  <si>
    <t>ZŠ Francisciho 11 škol. infra.</t>
  </si>
  <si>
    <t>Hnedý priemyselný park</t>
  </si>
  <si>
    <t>Bytové priestory</t>
  </si>
  <si>
    <t>Nebytové priestory</t>
  </si>
  <si>
    <t xml:space="preserve">Dar "Dni Majstra Pavla" </t>
  </si>
  <si>
    <t>Splácanie bankových úverov krátkodobých</t>
  </si>
  <si>
    <t>MPV most LD</t>
  </si>
  <si>
    <t>08.4.0.</t>
  </si>
  <si>
    <t>Kostol sv. Jakuba</t>
  </si>
  <si>
    <t>Rekapitulácia</t>
  </si>
  <si>
    <t>08.2.0.</t>
  </si>
  <si>
    <t>Komuntná sociálna práca</t>
  </si>
  <si>
    <t>Dni Majstra Pavla</t>
  </si>
  <si>
    <t>ZUŠ - hudobné nástroje</t>
  </si>
  <si>
    <t>Vojnové hroby</t>
  </si>
  <si>
    <t>Chránené dielne</t>
  </si>
  <si>
    <t>Povodňová aktivita</t>
  </si>
  <si>
    <t>Protipovodňové aktivity</t>
  </si>
  <si>
    <t>PD - DSS</t>
  </si>
  <si>
    <t>Dopravné značenie</t>
  </si>
  <si>
    <t>Obnova hradobného múru</t>
  </si>
  <si>
    <t>nákup objekt Pisarčiná</t>
  </si>
  <si>
    <t>Ostatné transfery na  kultúru</t>
  </si>
  <si>
    <t>Cestná doprava / transfer SAD /</t>
  </si>
  <si>
    <t>Transfer pre TS (SÚZ)</t>
  </si>
  <si>
    <t>Potravinová pomoc</t>
  </si>
  <si>
    <t>Medzinárodný zraz turistov</t>
  </si>
  <si>
    <t>Značenie Levočské vrchy</t>
  </si>
  <si>
    <t>MPV Ovocinárska</t>
  </si>
  <si>
    <t>Lev. Lúky - zádveria</t>
  </si>
  <si>
    <t>chata Kohlwald</t>
  </si>
  <si>
    <t>Časť 1.1 Bežný rozpočet</t>
  </si>
  <si>
    <t xml:space="preserve">NMP č. 54 - divadlo, výmena okien II. etapa </t>
  </si>
  <si>
    <t>Spevnenie svahu sidl. Západ</t>
  </si>
  <si>
    <t>Odkanalizovanie ul. Štúrová</t>
  </si>
  <si>
    <t xml:space="preserve">Prestavba N.M.P. I. etapa </t>
  </si>
  <si>
    <t>Projektová dokumentácia</t>
  </si>
  <si>
    <t>Podvozok nosič nadstavby</t>
  </si>
  <si>
    <t xml:space="preserve">kamerový systém </t>
  </si>
  <si>
    <t>Daň z príjmu</t>
  </si>
  <si>
    <t>Radnica a zvonica NMP č.2</t>
  </si>
  <si>
    <t>MK Radnica a zvonica NMP č.2</t>
  </si>
  <si>
    <t>Oprava parkanového múru</t>
  </si>
  <si>
    <t>MK Oprava parkanového múru</t>
  </si>
  <si>
    <t>ZŠ G. Haina - hromozvody, technológia ŠJ</t>
  </si>
  <si>
    <t>odvodnenie, sídl. Pri prameni</t>
  </si>
  <si>
    <t>výstavba parkoviska sídl, Západ II.</t>
  </si>
  <si>
    <t>prejazdová váha - stavebné práce</t>
  </si>
  <si>
    <t>bežné transfery</t>
  </si>
  <si>
    <t>voľby</t>
  </si>
  <si>
    <t>Prevod na fond nevyčerpaných dotácií</t>
  </si>
  <si>
    <t>Za propagáciu</t>
  </si>
  <si>
    <t>Prestavba NMP I. etapa</t>
  </si>
  <si>
    <t xml:space="preserve">Rekonštr. a moder. rekr.+ oddych. zón </t>
  </si>
  <si>
    <t>L. Lúky - sklady palív a úprava vstupov</t>
  </si>
  <si>
    <t>Levočská Dolina (Suchý)</t>
  </si>
  <si>
    <t>ul. V. Greschika – garáže</t>
  </si>
  <si>
    <t>Levočské Lúky majetkoprávne vysp.</t>
  </si>
  <si>
    <t>z pozemkov</t>
  </si>
  <si>
    <t>Nám. Majstra Pavla 50,51 -PD (FRB)</t>
  </si>
  <si>
    <t>MPV pozemkov pre most Lev. Dolina</t>
  </si>
  <si>
    <t xml:space="preserve">MPV pozemkov pre autobus. zastávku LL, LD </t>
  </si>
  <si>
    <t>MPV stavba Strelnica</t>
  </si>
  <si>
    <t>Prestavba NMP - I.etapa - Exter. manaž.</t>
  </si>
  <si>
    <t xml:space="preserve">Osobitný príjemca </t>
  </si>
  <si>
    <t>Nám. Š. Kluberta – pomer. mer. tepla (FRB)</t>
  </si>
  <si>
    <t>Separovvaný zber - spolufin. Projektu</t>
  </si>
  <si>
    <t>10.7.</t>
  </si>
  <si>
    <t>05.2.0</t>
  </si>
  <si>
    <t>Nakladanie s odpadovými vodami</t>
  </si>
  <si>
    <t>ČOV, parkoviská - stočné</t>
  </si>
  <si>
    <t>refundácia projektov</t>
  </si>
  <si>
    <t>MŠ Žel. riadok - jedáleň</t>
  </si>
  <si>
    <t>VO Bottova, Kasárenska ul.</t>
  </si>
  <si>
    <t>Oplotenie zimného štadióna</t>
  </si>
  <si>
    <t>ZŠ Haina - technológia ŠJ</t>
  </si>
  <si>
    <t>CVČ - vybavenie PC technikou</t>
  </si>
  <si>
    <t xml:space="preserve">Karpatské klim. mestečká </t>
  </si>
  <si>
    <t>príspevok pre TS</t>
  </si>
  <si>
    <t>Dotácia cesty</t>
  </si>
  <si>
    <t>fond nevyčerpaných dotácií</t>
  </si>
  <si>
    <t>Abulancia poliklinika</t>
  </si>
  <si>
    <t>Nákup dodávkového auta</t>
  </si>
  <si>
    <t>Projekt - rozvoj turizmu v regióne</t>
  </si>
  <si>
    <t>Neštátne školstvo</t>
  </si>
  <si>
    <t>Dotácia ŠR - školstvo</t>
  </si>
  <si>
    <t>Nakladanie s odpadmi</t>
  </si>
  <si>
    <t xml:space="preserve">Znalecký posudok </t>
  </si>
  <si>
    <t>Poistné</t>
  </si>
  <si>
    <t>ostatné</t>
  </si>
  <si>
    <t>dot. na  obnovu kult. pamiatok</t>
  </si>
  <si>
    <t xml:space="preserve">     právne zastupovanie</t>
  </si>
  <si>
    <t xml:space="preserve">     z prenájmu nehnuteľností HPZ</t>
  </si>
  <si>
    <t>komunitné centrum</t>
  </si>
  <si>
    <t>Basketbalové ihrisko</t>
  </si>
  <si>
    <t xml:space="preserve">vzdelávanie seniorov </t>
  </si>
  <si>
    <t>modernizácia autobusových zastávok</t>
  </si>
  <si>
    <t xml:space="preserve">Kultúra- puto spájajúce obyvateľov vidieka </t>
  </si>
  <si>
    <t>Byty</t>
  </si>
  <si>
    <t xml:space="preserve">kino </t>
  </si>
  <si>
    <t>digitlizácia kina</t>
  </si>
  <si>
    <r>
      <t xml:space="preserve">    </t>
    </r>
    <r>
      <rPr>
        <sz val="10"/>
        <rFont val="Arial CE"/>
        <family val="2"/>
      </rPr>
      <t xml:space="preserve"> z predaja budov</t>
    </r>
  </si>
  <si>
    <t>MŠ ul. Predmestie 26-rekonštrukcia I.etapa</t>
  </si>
  <si>
    <t>Cykloturistický chodník</t>
  </si>
  <si>
    <t>Lyžiarske trate</t>
  </si>
  <si>
    <t>Osobitný príjemca - mesto</t>
  </si>
  <si>
    <t xml:space="preserve">     pokuty, penále a sankcie</t>
  </si>
  <si>
    <t>PD Byty Lev. Lúky</t>
  </si>
  <si>
    <t>ostatné príjmy</t>
  </si>
  <si>
    <t xml:space="preserve">Prestavba N.M.P. II. etapa </t>
  </si>
  <si>
    <t>obnova oddychovej zóny Schiessplatz</t>
  </si>
  <si>
    <t>Voľnočasové aktivity</t>
  </si>
  <si>
    <t>Galéria</t>
  </si>
  <si>
    <t>Voľnočasové aktivity CVČ</t>
  </si>
  <si>
    <t>Tréningová hala</t>
  </si>
  <si>
    <t>Skutočnosť 2013</t>
  </si>
  <si>
    <t>Skutočnosť 2012</t>
  </si>
  <si>
    <t>HPZ</t>
  </si>
  <si>
    <t>prevencia kriminality</t>
  </si>
  <si>
    <t>Dom meštiansky - galéria</t>
  </si>
  <si>
    <t>Parkovacie plochy</t>
  </si>
  <si>
    <t>Premostenie Lev. Potoka</t>
  </si>
  <si>
    <t>Pódium</t>
  </si>
  <si>
    <t>ZŠ G. Haina</t>
  </si>
  <si>
    <t>Vodná nádrž</t>
  </si>
  <si>
    <t>MK Kostol sv. Jakuba</t>
  </si>
  <si>
    <t>ZŠ G. Haina 37 škol. infra.</t>
  </si>
  <si>
    <t>obce TKO</t>
  </si>
  <si>
    <t>ZUŠ - chránené dielne</t>
  </si>
  <si>
    <t>Za predaj tovarov a služieb</t>
  </si>
  <si>
    <t>% plnenia</t>
  </si>
  <si>
    <t>Skutočnosť 2014</t>
  </si>
  <si>
    <t>Upravený rozpočet 2014</t>
  </si>
  <si>
    <t xml:space="preserve">Hradobný múr </t>
  </si>
  <si>
    <t>Recyklačný fond</t>
  </si>
  <si>
    <t>Povodne</t>
  </si>
  <si>
    <t>oddychová zóna</t>
  </si>
  <si>
    <t>modernizácia verejných priestranstiev</t>
  </si>
  <si>
    <t>úprava verejných priestranstiev</t>
  </si>
  <si>
    <t>Basket. ihrisko sídl. Pri prameni</t>
  </si>
  <si>
    <t xml:space="preserve">Byty </t>
  </si>
  <si>
    <t>oddychové zóny</t>
  </si>
  <si>
    <t>Parkovacie plochy - etapa 3.2</t>
  </si>
  <si>
    <t xml:space="preserve">Schody sídl. Rozvoj </t>
  </si>
  <si>
    <t>Prestavba NMP II. etapa</t>
  </si>
  <si>
    <t>Odvodnenie sídl, Západ</t>
  </si>
  <si>
    <t>otočisko sídl. Západ</t>
  </si>
  <si>
    <t xml:space="preserve">VO garáže, sídl. Západ </t>
  </si>
  <si>
    <t>Vrátky</t>
  </si>
  <si>
    <t>Hradobný múr</t>
  </si>
  <si>
    <t>Projekty - školy</t>
  </si>
</sst>
</file>

<file path=xl/styles.xml><?xml version="1.0" encoding="utf-8"?>
<styleSheet xmlns="http://schemas.openxmlformats.org/spreadsheetml/2006/main">
  <numFmts count="4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#,##0\ _S_k"/>
    <numFmt numFmtId="182" formatCode="0.0"/>
    <numFmt numFmtId="183" formatCode="[$-41B]d\.\ mmmm\ yyyy"/>
    <numFmt numFmtId="184" formatCode="#,##0.000"/>
    <numFmt numFmtId="185" formatCode="#,##0.0000"/>
    <numFmt numFmtId="186" formatCode="#,##0.00000"/>
    <numFmt numFmtId="187" formatCode="&quot;Áno&quot;;&quot;Áno&quot;;&quot;Nie&quot;"/>
    <numFmt numFmtId="188" formatCode="&quot;Pravda&quot;;&quot;Pravda&quot;;&quot;Nepravda&quot;"/>
    <numFmt numFmtId="189" formatCode="&quot;Zapnuté&quot;;&quot;Zapnuté&quot;;&quot;Vypnuté&quot;"/>
    <numFmt numFmtId="190" formatCode="[$€-2]\ #\ ##,000_);[Red]\([$€-2]\ #\ ##,000\)"/>
    <numFmt numFmtId="191" formatCode="0.000000"/>
    <numFmt numFmtId="192" formatCode="0.00000"/>
    <numFmt numFmtId="193" formatCode="0.0000"/>
    <numFmt numFmtId="194" formatCode="0.000"/>
    <numFmt numFmtId="195" formatCode="0.0000000"/>
    <numFmt numFmtId="196" formatCode="0.000000E+00"/>
    <numFmt numFmtId="197" formatCode="0.00000E+00"/>
    <numFmt numFmtId="198" formatCode="0.0000E+00"/>
    <numFmt numFmtId="199" formatCode="0.000E+00"/>
    <numFmt numFmtId="200" formatCode="0.0E+00"/>
    <numFmt numFmtId="201" formatCode="0E+00"/>
  </numFmts>
  <fonts count="36">
    <font>
      <sz val="10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sz val="8"/>
      <name val="Arial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 CE"/>
      <family val="2"/>
    </font>
    <font>
      <sz val="12"/>
      <name val="Arial"/>
      <family val="2"/>
    </font>
    <font>
      <b/>
      <sz val="8"/>
      <name val="Arial CE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10"/>
      <name val="Arial CE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medium"/>
    </border>
    <border>
      <left style="medium"/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double"/>
      <right style="medium"/>
      <top style="double"/>
      <bottom style="hair"/>
    </border>
    <border>
      <left style="double"/>
      <right style="medium"/>
      <top style="hair"/>
      <bottom>
        <color indexed="63"/>
      </bottom>
    </border>
    <border>
      <left style="double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hair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ouble"/>
      <bottom style="hair"/>
    </border>
    <border>
      <left style="double"/>
      <right style="medium"/>
      <top style="medium"/>
      <bottom style="double"/>
    </border>
    <border>
      <left style="medium"/>
      <right>
        <color indexed="63"/>
      </right>
      <top style="hair"/>
      <bottom style="double"/>
    </border>
    <border>
      <left style="double"/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double"/>
      <top style="medium"/>
      <bottom style="double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hair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hair"/>
      <bottom>
        <color indexed="63"/>
      </bottom>
    </border>
    <border>
      <left style="medium"/>
      <right style="double"/>
      <top style="hair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 style="hair"/>
      <bottom style="double"/>
    </border>
    <border>
      <left style="medium"/>
      <right style="double"/>
      <top style="medium"/>
      <bottom style="hair"/>
    </border>
    <border>
      <left style="medium"/>
      <right style="double"/>
      <top style="double"/>
      <bottom style="hair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 style="medium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8" applyNumberFormat="0" applyAlignment="0" applyProtection="0"/>
    <xf numFmtId="0" fontId="32" fillId="19" borderId="8" applyNumberFormat="0" applyAlignment="0" applyProtection="0"/>
    <xf numFmtId="0" fontId="33" fillId="19" borderId="9" applyNumberFormat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71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5" xfId="0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3" fillId="0" borderId="22" xfId="0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3" fontId="6" fillId="19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" fillId="0" borderId="23" xfId="0" applyFont="1" applyBorder="1" applyAlignment="1">
      <alignment/>
    </xf>
    <xf numFmtId="0" fontId="7" fillId="0" borderId="0" xfId="0" applyFont="1" applyAlignment="1">
      <alignment/>
    </xf>
    <xf numFmtId="0" fontId="1" fillId="0" borderId="24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25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26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3" fontId="3" fillId="0" borderId="2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5" xfId="0" applyFont="1" applyBorder="1" applyAlignment="1">
      <alignment/>
    </xf>
    <xf numFmtId="0" fontId="12" fillId="0" borderId="0" xfId="0" applyFont="1" applyAlignment="1">
      <alignment/>
    </xf>
    <xf numFmtId="0" fontId="3" fillId="0" borderId="28" xfId="0" applyFont="1" applyBorder="1" applyAlignment="1">
      <alignment/>
    </xf>
    <xf numFmtId="0" fontId="3" fillId="0" borderId="22" xfId="0" applyFont="1" applyBorder="1" applyAlignment="1">
      <alignment/>
    </xf>
    <xf numFmtId="3" fontId="6" fillId="19" borderId="10" xfId="0" applyNumberFormat="1" applyFont="1" applyFill="1" applyBorder="1" applyAlignment="1">
      <alignment/>
    </xf>
    <xf numFmtId="49" fontId="1" fillId="0" borderId="29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0" fontId="3" fillId="0" borderId="21" xfId="0" applyFont="1" applyBorder="1" applyAlignment="1">
      <alignment/>
    </xf>
    <xf numFmtId="3" fontId="6" fillId="19" borderId="12" xfId="0" applyNumberFormat="1" applyFont="1" applyFill="1" applyBorder="1" applyAlignment="1">
      <alignment/>
    </xf>
    <xf numFmtId="49" fontId="6" fillId="19" borderId="30" xfId="0" applyNumberFormat="1" applyFont="1" applyFill="1" applyBorder="1" applyAlignment="1">
      <alignment/>
    </xf>
    <xf numFmtId="49" fontId="1" fillId="0" borderId="31" xfId="0" applyNumberFormat="1" applyFont="1" applyFill="1" applyBorder="1" applyAlignment="1">
      <alignment/>
    </xf>
    <xf numFmtId="0" fontId="3" fillId="0" borderId="32" xfId="0" applyFont="1" applyFill="1" applyBorder="1" applyAlignment="1">
      <alignment/>
    </xf>
    <xf numFmtId="14" fontId="6" fillId="19" borderId="30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49" fontId="6" fillId="19" borderId="33" xfId="0" applyNumberFormat="1" applyFont="1" applyFill="1" applyBorder="1" applyAlignment="1">
      <alignment/>
    </xf>
    <xf numFmtId="0" fontId="9" fillId="16" borderId="34" xfId="0" applyFont="1" applyFill="1" applyBorder="1" applyAlignment="1">
      <alignment/>
    </xf>
    <xf numFmtId="3" fontId="9" fillId="16" borderId="34" xfId="0" applyNumberFormat="1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22" xfId="0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0" fontId="3" fillId="0" borderId="36" xfId="0" applyFont="1" applyBorder="1" applyAlignment="1">
      <alignment/>
    </xf>
    <xf numFmtId="0" fontId="0" fillId="0" borderId="0" xfId="0" applyAlignment="1">
      <alignment horizontal="center"/>
    </xf>
    <xf numFmtId="49" fontId="6" fillId="19" borderId="33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26" xfId="0" applyFont="1" applyBorder="1" applyAlignment="1">
      <alignment/>
    </xf>
    <xf numFmtId="49" fontId="1" fillId="0" borderId="31" xfId="0" applyNumberFormat="1" applyFont="1" applyBorder="1" applyAlignment="1">
      <alignment/>
    </xf>
    <xf numFmtId="49" fontId="1" fillId="0" borderId="33" xfId="0" applyNumberFormat="1" applyFont="1" applyBorder="1" applyAlignment="1">
      <alignment/>
    </xf>
    <xf numFmtId="49" fontId="6" fillId="19" borderId="30" xfId="0" applyNumberFormat="1" applyFont="1" applyFill="1" applyBorder="1" applyAlignment="1">
      <alignment/>
    </xf>
    <xf numFmtId="0" fontId="1" fillId="0" borderId="37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49" fontId="1" fillId="0" borderId="33" xfId="0" applyNumberFormat="1" applyFont="1" applyBorder="1" applyAlignment="1">
      <alignment/>
    </xf>
    <xf numFmtId="49" fontId="6" fillId="19" borderId="38" xfId="0" applyNumberFormat="1" applyFont="1" applyFill="1" applyBorder="1" applyAlignment="1">
      <alignment vertical="center" wrapText="1"/>
    </xf>
    <xf numFmtId="3" fontId="6" fillId="19" borderId="39" xfId="0" applyNumberFormat="1" applyFont="1" applyFill="1" applyBorder="1" applyAlignment="1">
      <alignment vertical="center" wrapText="1"/>
    </xf>
    <xf numFmtId="3" fontId="1" fillId="0" borderId="17" xfId="0" applyNumberFormat="1" applyFont="1" applyFill="1" applyBorder="1" applyAlignment="1">
      <alignment/>
    </xf>
    <xf numFmtId="3" fontId="6" fillId="19" borderId="11" xfId="0" applyNumberFormat="1" applyFont="1" applyFill="1" applyBorder="1" applyAlignment="1">
      <alignment/>
    </xf>
    <xf numFmtId="3" fontId="9" fillId="16" borderId="29" xfId="0" applyNumberFormat="1" applyFont="1" applyFill="1" applyBorder="1" applyAlignment="1">
      <alignment/>
    </xf>
    <xf numFmtId="3" fontId="6" fillId="19" borderId="29" xfId="0" applyNumberFormat="1" applyFont="1" applyFill="1" applyBorder="1" applyAlignment="1">
      <alignment/>
    </xf>
    <xf numFmtId="3" fontId="6" fillId="19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9" fillId="16" borderId="30" xfId="0" applyFont="1" applyFill="1" applyBorder="1" applyAlignment="1">
      <alignment horizontal="center"/>
    </xf>
    <xf numFmtId="0" fontId="6" fillId="19" borderId="37" xfId="0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6" fillId="19" borderId="41" xfId="0" applyFont="1" applyFill="1" applyBorder="1" applyAlignment="1">
      <alignment horizontal="center"/>
    </xf>
    <xf numFmtId="0" fontId="6" fillId="19" borderId="30" xfId="0" applyFont="1" applyFill="1" applyBorder="1" applyAlignment="1">
      <alignment horizontal="center"/>
    </xf>
    <xf numFmtId="0" fontId="6" fillId="19" borderId="33" xfId="0" applyFont="1" applyFill="1" applyBorder="1" applyAlignment="1">
      <alignment horizontal="center"/>
    </xf>
    <xf numFmtId="0" fontId="9" fillId="16" borderId="33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3" fontId="9" fillId="16" borderId="12" xfId="0" applyNumberFormat="1" applyFont="1" applyFill="1" applyBorder="1" applyAlignment="1">
      <alignment horizontal="right"/>
    </xf>
    <xf numFmtId="49" fontId="6" fillId="19" borderId="33" xfId="0" applyNumberFormat="1" applyFont="1" applyFill="1" applyBorder="1" applyAlignment="1">
      <alignment/>
    </xf>
    <xf numFmtId="0" fontId="1" fillId="0" borderId="22" xfId="0" applyFont="1" applyBorder="1" applyAlignment="1">
      <alignment/>
    </xf>
    <xf numFmtId="0" fontId="3" fillId="0" borderId="28" xfId="0" applyFont="1" applyBorder="1" applyAlignment="1">
      <alignment/>
    </xf>
    <xf numFmtId="0" fontId="0" fillId="0" borderId="0" xfId="0" applyFont="1" applyFill="1" applyAlignment="1">
      <alignment/>
    </xf>
    <xf numFmtId="3" fontId="0" fillId="0" borderId="12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16" fillId="0" borderId="16" xfId="0" applyFont="1" applyBorder="1" applyAlignment="1">
      <alignment/>
    </xf>
    <xf numFmtId="0" fontId="16" fillId="0" borderId="0" xfId="0" applyFont="1" applyAlignment="1">
      <alignment/>
    </xf>
    <xf numFmtId="0" fontId="0" fillId="0" borderId="16" xfId="0" applyFont="1" applyBorder="1" applyAlignment="1">
      <alignment/>
    </xf>
    <xf numFmtId="49" fontId="1" fillId="0" borderId="42" xfId="0" applyNumberFormat="1" applyFont="1" applyBorder="1" applyAlignment="1">
      <alignment/>
    </xf>
    <xf numFmtId="3" fontId="1" fillId="16" borderId="34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1" fillId="0" borderId="31" xfId="0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0" fontId="0" fillId="0" borderId="22" xfId="0" applyBorder="1" applyAlignment="1">
      <alignment/>
    </xf>
    <xf numFmtId="49" fontId="3" fillId="0" borderId="18" xfId="0" applyNumberFormat="1" applyFont="1" applyFill="1" applyBorder="1" applyAlignment="1">
      <alignment horizontal="left"/>
    </xf>
    <xf numFmtId="49" fontId="3" fillId="0" borderId="19" xfId="0" applyNumberFormat="1" applyFont="1" applyFill="1" applyBorder="1" applyAlignment="1">
      <alignment horizontal="left"/>
    </xf>
    <xf numFmtId="49" fontId="3" fillId="0" borderId="17" xfId="0" applyNumberFormat="1" applyFont="1" applyFill="1" applyBorder="1" applyAlignment="1">
      <alignment/>
    </xf>
    <xf numFmtId="0" fontId="6" fillId="0" borderId="3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3" fillId="0" borderId="43" xfId="0" applyFont="1" applyBorder="1" applyAlignment="1">
      <alignment/>
    </xf>
    <xf numFmtId="0" fontId="3" fillId="0" borderId="12" xfId="0" applyFont="1" applyBorder="1" applyAlignment="1">
      <alignment/>
    </xf>
    <xf numFmtId="49" fontId="6" fillId="19" borderId="30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2" fillId="19" borderId="46" xfId="0" applyFont="1" applyFill="1" applyBorder="1" applyAlignment="1">
      <alignment/>
    </xf>
    <xf numFmtId="3" fontId="12" fillId="19" borderId="34" xfId="0" applyNumberFormat="1" applyFont="1" applyFill="1" applyBorder="1" applyAlignment="1">
      <alignment/>
    </xf>
    <xf numFmtId="3" fontId="12" fillId="19" borderId="47" xfId="0" applyNumberFormat="1" applyFont="1" applyFill="1" applyBorder="1" applyAlignment="1">
      <alignment/>
    </xf>
    <xf numFmtId="3" fontId="8" fillId="0" borderId="48" xfId="0" applyNumberFormat="1" applyFont="1" applyBorder="1" applyAlignment="1">
      <alignment vertical="center"/>
    </xf>
    <xf numFmtId="3" fontId="4" fillId="0" borderId="0" xfId="0" applyNumberFormat="1" applyFont="1" applyFill="1" applyAlignment="1">
      <alignment/>
    </xf>
    <xf numFmtId="0" fontId="3" fillId="0" borderId="35" xfId="0" applyFont="1" applyFill="1" applyBorder="1" applyAlignment="1">
      <alignment horizontal="left"/>
    </xf>
    <xf numFmtId="0" fontId="3" fillId="0" borderId="49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52" xfId="0" applyFont="1" applyBorder="1" applyAlignment="1">
      <alignment/>
    </xf>
    <xf numFmtId="0" fontId="3" fillId="0" borderId="53" xfId="0" applyFont="1" applyFill="1" applyBorder="1" applyAlignment="1">
      <alignment/>
    </xf>
    <xf numFmtId="3" fontId="1" fillId="0" borderId="23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3" fillId="0" borderId="49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0" fontId="6" fillId="19" borderId="30" xfId="0" applyFont="1" applyFill="1" applyBorder="1" applyAlignment="1">
      <alignment vertical="center" wrapText="1"/>
    </xf>
    <xf numFmtId="3" fontId="8" fillId="19" borderId="10" xfId="0" applyNumberFormat="1" applyFont="1" applyFill="1" applyBorder="1" applyAlignment="1">
      <alignment vertical="center" wrapText="1"/>
    </xf>
    <xf numFmtId="3" fontId="3" fillId="0" borderId="26" xfId="0" applyNumberFormat="1" applyFont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6" fillId="19" borderId="23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3" fillId="0" borderId="43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3" fontId="6" fillId="19" borderId="54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3" fontId="9" fillId="16" borderId="55" xfId="0" applyNumberFormat="1" applyFont="1" applyFill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43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3" fontId="3" fillId="0" borderId="17" xfId="0" applyNumberFormat="1" applyFont="1" applyBorder="1" applyAlignment="1">
      <alignment horizontal="right"/>
    </xf>
    <xf numFmtId="0" fontId="3" fillId="0" borderId="20" xfId="0" applyFont="1" applyFill="1" applyBorder="1" applyAlignment="1">
      <alignment/>
    </xf>
    <xf numFmtId="3" fontId="2" fillId="0" borderId="10" xfId="0" applyNumberFormat="1" applyFont="1" applyFill="1" applyBorder="1" applyAlignment="1">
      <alignment vertical="center" wrapText="1"/>
    </xf>
    <xf numFmtId="0" fontId="3" fillId="0" borderId="15" xfId="0" applyFont="1" applyBorder="1" applyAlignment="1">
      <alignment/>
    </xf>
    <xf numFmtId="0" fontId="3" fillId="0" borderId="31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8" xfId="0" applyFont="1" applyBorder="1" applyAlignment="1">
      <alignment/>
    </xf>
    <xf numFmtId="3" fontId="3" fillId="0" borderId="22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3" fillId="0" borderId="49" xfId="0" applyNumberFormat="1" applyFont="1" applyFill="1" applyBorder="1" applyAlignment="1">
      <alignment/>
    </xf>
    <xf numFmtId="0" fontId="3" fillId="0" borderId="50" xfId="0" applyFont="1" applyFill="1" applyBorder="1" applyAlignment="1">
      <alignment/>
    </xf>
    <xf numFmtId="4" fontId="1" fillId="0" borderId="56" xfId="0" applyNumberFormat="1" applyFont="1" applyBorder="1" applyAlignment="1">
      <alignment/>
    </xf>
    <xf numFmtId="4" fontId="3" fillId="0" borderId="57" xfId="0" applyNumberFormat="1" applyFont="1" applyFill="1" applyBorder="1" applyAlignment="1">
      <alignment/>
    </xf>
    <xf numFmtId="4" fontId="3" fillId="0" borderId="58" xfId="0" applyNumberFormat="1" applyFont="1" applyBorder="1" applyAlignment="1">
      <alignment/>
    </xf>
    <xf numFmtId="4" fontId="3" fillId="0" borderId="57" xfId="0" applyNumberFormat="1" applyFont="1" applyBorder="1" applyAlignment="1">
      <alignment/>
    </xf>
    <xf numFmtId="4" fontId="3" fillId="0" borderId="59" xfId="0" applyNumberFormat="1" applyFont="1" applyBorder="1" applyAlignment="1">
      <alignment/>
    </xf>
    <xf numFmtId="0" fontId="0" fillId="0" borderId="0" xfId="0" applyAlignment="1">
      <alignment/>
    </xf>
    <xf numFmtId="3" fontId="0" fillId="0" borderId="15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0" fontId="3" fillId="0" borderId="6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61" xfId="0" applyFont="1" applyBorder="1" applyAlignment="1">
      <alignment/>
    </xf>
    <xf numFmtId="49" fontId="6" fillId="0" borderId="33" xfId="0" applyNumberFormat="1" applyFont="1" applyFill="1" applyBorder="1" applyAlignment="1">
      <alignment horizontal="center"/>
    </xf>
    <xf numFmtId="49" fontId="3" fillId="0" borderId="5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8" fillId="19" borderId="30" xfId="0" applyFont="1" applyFill="1" applyBorder="1" applyAlignment="1">
      <alignment/>
    </xf>
    <xf numFmtId="16" fontId="6" fillId="19" borderId="33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49" fontId="1" fillId="19" borderId="30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16" fontId="1" fillId="0" borderId="0" xfId="0" applyNumberFormat="1" applyFont="1" applyFill="1" applyBorder="1" applyAlignment="1">
      <alignment horizontal="left"/>
    </xf>
    <xf numFmtId="3" fontId="3" fillId="0" borderId="43" xfId="0" applyNumberFormat="1" applyFont="1" applyFill="1" applyBorder="1" applyAlignment="1">
      <alignment/>
    </xf>
    <xf numFmtId="3" fontId="1" fillId="19" borderId="12" xfId="0" applyNumberFormat="1" applyFont="1" applyFill="1" applyBorder="1" applyAlignment="1">
      <alignment/>
    </xf>
    <xf numFmtId="3" fontId="9" fillId="16" borderId="23" xfId="0" applyNumberFormat="1" applyFont="1" applyFill="1" applyBorder="1" applyAlignment="1">
      <alignment/>
    </xf>
    <xf numFmtId="3" fontId="6" fillId="19" borderId="36" xfId="0" applyNumberFormat="1" applyFont="1" applyFill="1" applyBorder="1" applyAlignment="1">
      <alignment/>
    </xf>
    <xf numFmtId="3" fontId="1" fillId="0" borderId="23" xfId="0" applyNumberFormat="1" applyFont="1" applyBorder="1" applyAlignment="1">
      <alignment/>
    </xf>
    <xf numFmtId="16" fontId="1" fillId="0" borderId="0" xfId="0" applyNumberFormat="1" applyFont="1" applyBorder="1" applyAlignment="1">
      <alignment horizontal="left"/>
    </xf>
    <xf numFmtId="3" fontId="3" fillId="0" borderId="54" xfId="0" applyNumberFormat="1" applyFont="1" applyBorder="1" applyAlignment="1">
      <alignment/>
    </xf>
    <xf numFmtId="3" fontId="0" fillId="0" borderId="62" xfId="0" applyNumberFormat="1" applyBorder="1" applyAlignment="1">
      <alignment/>
    </xf>
    <xf numFmtId="0" fontId="8" fillId="0" borderId="63" xfId="0" applyFont="1" applyBorder="1" applyAlignment="1">
      <alignment vertical="center"/>
    </xf>
    <xf numFmtId="0" fontId="8" fillId="0" borderId="63" xfId="0" applyFont="1" applyBorder="1" applyAlignment="1">
      <alignment/>
    </xf>
    <xf numFmtId="3" fontId="8" fillId="0" borderId="48" xfId="0" applyNumberFormat="1" applyFont="1" applyBorder="1" applyAlignment="1">
      <alignment/>
    </xf>
    <xf numFmtId="0" fontId="3" fillId="0" borderId="64" xfId="0" applyFont="1" applyBorder="1" applyAlignment="1">
      <alignment/>
    </xf>
    <xf numFmtId="0" fontId="9" fillId="16" borderId="65" xfId="0" applyFont="1" applyFill="1" applyBorder="1" applyAlignment="1">
      <alignment horizontal="center"/>
    </xf>
    <xf numFmtId="3" fontId="9" fillId="16" borderId="55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53" xfId="0" applyNumberFormat="1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5" xfId="0" applyNumberFormat="1" applyFont="1" applyFill="1" applyBorder="1" applyAlignment="1">
      <alignment horizontal="center"/>
    </xf>
    <xf numFmtId="0" fontId="3" fillId="0" borderId="5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/>
    </xf>
    <xf numFmtId="49" fontId="1" fillId="0" borderId="69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8" fillId="19" borderId="33" xfId="0" applyFont="1" applyFill="1" applyBorder="1" applyAlignment="1">
      <alignment horizontal="center"/>
    </xf>
    <xf numFmtId="3" fontId="3" fillId="0" borderId="54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 horizontal="left"/>
    </xf>
    <xf numFmtId="3" fontId="3" fillId="0" borderId="27" xfId="0" applyNumberFormat="1" applyFont="1" applyFill="1" applyBorder="1" applyAlignment="1">
      <alignment/>
    </xf>
    <xf numFmtId="3" fontId="3" fillId="0" borderId="5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 vertical="center" wrapText="1"/>
    </xf>
    <xf numFmtId="3" fontId="3" fillId="0" borderId="23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3" fontId="3" fillId="0" borderId="54" xfId="0" applyNumberFormat="1" applyFont="1" applyBorder="1" applyAlignment="1">
      <alignment/>
    </xf>
    <xf numFmtId="3" fontId="3" fillId="0" borderId="64" xfId="0" applyNumberFormat="1" applyFont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3" fontId="0" fillId="0" borderId="28" xfId="0" applyNumberFormat="1" applyFont="1" applyBorder="1" applyAlignment="1">
      <alignment/>
    </xf>
    <xf numFmtId="0" fontId="6" fillId="19" borderId="10" xfId="0" applyFont="1" applyFill="1" applyBorder="1" applyAlignment="1">
      <alignment horizontal="right"/>
    </xf>
    <xf numFmtId="3" fontId="1" fillId="19" borderId="23" xfId="0" applyNumberFormat="1" applyFont="1" applyFill="1" applyBorder="1" applyAlignment="1">
      <alignment/>
    </xf>
    <xf numFmtId="3" fontId="6" fillId="19" borderId="54" xfId="0" applyNumberFormat="1" applyFont="1" applyFill="1" applyBorder="1" applyAlignment="1">
      <alignment horizontal="right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3" fontId="8" fillId="0" borderId="70" xfId="0" applyNumberFormat="1" applyFont="1" applyBorder="1" applyAlignment="1">
      <alignment vertical="center"/>
    </xf>
    <xf numFmtId="3" fontId="8" fillId="0" borderId="7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Fill="1" applyAlignment="1">
      <alignment/>
    </xf>
    <xf numFmtId="49" fontId="1" fillId="0" borderId="71" xfId="0" applyNumberFormat="1" applyFont="1" applyFill="1" applyBorder="1" applyAlignment="1">
      <alignment horizontal="center"/>
    </xf>
    <xf numFmtId="0" fontId="1" fillId="0" borderId="22" xfId="0" applyFont="1" applyBorder="1" applyAlignment="1">
      <alignment/>
    </xf>
    <xf numFmtId="0" fontId="3" fillId="0" borderId="25" xfId="0" applyFont="1" applyBorder="1" applyAlignment="1">
      <alignment/>
    </xf>
    <xf numFmtId="3" fontId="3" fillId="0" borderId="15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6" fillId="19" borderId="23" xfId="0" applyFont="1" applyFill="1" applyBorder="1" applyAlignment="1">
      <alignment horizontal="left"/>
    </xf>
    <xf numFmtId="0" fontId="6" fillId="19" borderId="68" xfId="0" applyFont="1" applyFill="1" applyBorder="1" applyAlignment="1">
      <alignment horizontal="left"/>
    </xf>
    <xf numFmtId="0" fontId="6" fillId="19" borderId="72" xfId="0" applyFont="1" applyFill="1" applyBorder="1" applyAlignment="1">
      <alignment horizontal="left"/>
    </xf>
    <xf numFmtId="49" fontId="6" fillId="19" borderId="50" xfId="0" applyNumberFormat="1" applyFont="1" applyFill="1" applyBorder="1" applyAlignment="1">
      <alignment horizontal="left"/>
    </xf>
    <xf numFmtId="0" fontId="6" fillId="19" borderId="10" xfId="0" applyFont="1" applyFill="1" applyBorder="1" applyAlignment="1">
      <alignment horizontal="left"/>
    </xf>
    <xf numFmtId="0" fontId="3" fillId="0" borderId="54" xfId="0" applyFont="1" applyBorder="1" applyAlignment="1">
      <alignment/>
    </xf>
    <xf numFmtId="0" fontId="3" fillId="0" borderId="54" xfId="0" applyFont="1" applyBorder="1" applyAlignment="1">
      <alignment/>
    </xf>
    <xf numFmtId="0" fontId="1" fillId="0" borderId="54" xfId="0" applyFont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7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72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49" fontId="3" fillId="0" borderId="74" xfId="0" applyNumberFormat="1" applyFont="1" applyFill="1" applyBorder="1" applyAlignment="1">
      <alignment horizontal="left"/>
    </xf>
    <xf numFmtId="0" fontId="3" fillId="0" borderId="28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69" xfId="0" applyFont="1" applyFill="1" applyBorder="1" applyAlignment="1">
      <alignment/>
    </xf>
    <xf numFmtId="0" fontId="3" fillId="0" borderId="74" xfId="0" applyFont="1" applyFill="1" applyBorder="1" applyAlignment="1">
      <alignment/>
    </xf>
    <xf numFmtId="0" fontId="3" fillId="0" borderId="71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6" fillId="19" borderId="50" xfId="0" applyNumberFormat="1" applyFont="1" applyFill="1" applyBorder="1" applyAlignment="1">
      <alignment horizontal="right"/>
    </xf>
    <xf numFmtId="0" fontId="3" fillId="0" borderId="73" xfId="0" applyNumberFormat="1" applyFont="1" applyFill="1" applyBorder="1" applyAlignment="1">
      <alignment horizontal="right"/>
    </xf>
    <xf numFmtId="0" fontId="1" fillId="0" borderId="50" xfId="0" applyNumberFormat="1" applyFont="1" applyFill="1" applyBorder="1" applyAlignment="1">
      <alignment horizontal="left"/>
    </xf>
    <xf numFmtId="0" fontId="3" fillId="0" borderId="75" xfId="0" applyFont="1" applyFill="1" applyBorder="1" applyAlignment="1">
      <alignment/>
    </xf>
    <xf numFmtId="3" fontId="0" fillId="0" borderId="49" xfId="0" applyNumberFormat="1" applyFont="1" applyFill="1" applyBorder="1" applyAlignment="1">
      <alignment vertical="center" wrapText="1"/>
    </xf>
    <xf numFmtId="3" fontId="0" fillId="0" borderId="27" xfId="0" applyNumberFormat="1" applyFont="1" applyFill="1" applyBorder="1" applyAlignment="1">
      <alignment vertical="center" wrapText="1"/>
    </xf>
    <xf numFmtId="3" fontId="3" fillId="0" borderId="71" xfId="0" applyNumberFormat="1" applyFont="1" applyFill="1" applyBorder="1" applyAlignment="1">
      <alignment/>
    </xf>
    <xf numFmtId="3" fontId="3" fillId="0" borderId="74" xfId="0" applyNumberFormat="1" applyFont="1" applyFill="1" applyBorder="1" applyAlignment="1">
      <alignment/>
    </xf>
    <xf numFmtId="3" fontId="3" fillId="0" borderId="73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49" xfId="0" applyFont="1" applyBorder="1" applyAlignment="1">
      <alignment/>
    </xf>
    <xf numFmtId="0" fontId="3" fillId="0" borderId="76" xfId="0" applyFont="1" applyBorder="1" applyAlignment="1">
      <alignment/>
    </xf>
    <xf numFmtId="0" fontId="3" fillId="0" borderId="74" xfId="0" applyFont="1" applyBorder="1" applyAlignment="1">
      <alignment/>
    </xf>
    <xf numFmtId="0" fontId="3" fillId="0" borderId="0" xfId="0" applyFont="1" applyBorder="1" applyAlignment="1">
      <alignment/>
    </xf>
    <xf numFmtId="49" fontId="1" fillId="19" borderId="24" xfId="0" applyNumberFormat="1" applyFont="1" applyFill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0" xfId="0" applyFont="1" applyFill="1" applyAlignment="1">
      <alignment/>
    </xf>
    <xf numFmtId="3" fontId="3" fillId="0" borderId="23" xfId="0" applyNumberFormat="1" applyFont="1" applyBorder="1" applyAlignment="1">
      <alignment/>
    </xf>
    <xf numFmtId="3" fontId="3" fillId="0" borderId="43" xfId="0" applyNumberFormat="1" applyFont="1" applyBorder="1" applyAlignment="1">
      <alignment/>
    </xf>
    <xf numFmtId="0" fontId="3" fillId="0" borderId="49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0" fillId="0" borderId="26" xfId="0" applyFont="1" applyBorder="1" applyAlignment="1">
      <alignment/>
    </xf>
    <xf numFmtId="49" fontId="1" fillId="19" borderId="10" xfId="0" applyNumberFormat="1" applyFont="1" applyFill="1" applyBorder="1" applyAlignment="1">
      <alignment horizontal="left"/>
    </xf>
    <xf numFmtId="0" fontId="0" fillId="0" borderId="29" xfId="0" applyFont="1" applyBorder="1" applyAlignment="1">
      <alignment/>
    </xf>
    <xf numFmtId="0" fontId="6" fillId="19" borderId="72" xfId="0" applyFont="1" applyFill="1" applyBorder="1" applyAlignment="1">
      <alignment horizontal="right"/>
    </xf>
    <xf numFmtId="3" fontId="0" fillId="0" borderId="15" xfId="0" applyNumberForma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49" fontId="6" fillId="19" borderId="50" xfId="0" applyNumberFormat="1" applyFont="1" applyFill="1" applyBorder="1" applyAlignment="1">
      <alignment horizontal="right"/>
    </xf>
    <xf numFmtId="49" fontId="3" fillId="0" borderId="15" xfId="0" applyNumberFormat="1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right"/>
    </xf>
    <xf numFmtId="49" fontId="3" fillId="0" borderId="17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3" fontId="12" fillId="0" borderId="0" xfId="0" applyNumberFormat="1" applyFont="1" applyAlignment="1">
      <alignment/>
    </xf>
    <xf numFmtId="0" fontId="10" fillId="0" borderId="0" xfId="0" applyFont="1" applyAlignment="1">
      <alignment/>
    </xf>
    <xf numFmtId="4" fontId="9" fillId="16" borderId="77" xfId="0" applyNumberFormat="1" applyFont="1" applyFill="1" applyBorder="1" applyAlignment="1">
      <alignment/>
    </xf>
    <xf numFmtId="4" fontId="6" fillId="19" borderId="57" xfId="0" applyNumberFormat="1" applyFont="1" applyFill="1" applyBorder="1" applyAlignment="1">
      <alignment/>
    </xf>
    <xf numFmtId="4" fontId="3" fillId="0" borderId="56" xfId="0" applyNumberFormat="1" applyFont="1" applyBorder="1" applyAlignment="1">
      <alignment/>
    </xf>
    <xf numFmtId="4" fontId="6" fillId="19" borderId="56" xfId="0" applyNumberFormat="1" applyFont="1" applyFill="1" applyBorder="1" applyAlignment="1">
      <alignment/>
    </xf>
    <xf numFmtId="4" fontId="1" fillId="0" borderId="78" xfId="0" applyNumberFormat="1" applyFont="1" applyBorder="1" applyAlignment="1">
      <alignment/>
    </xf>
    <xf numFmtId="4" fontId="3" fillId="0" borderId="79" xfId="0" applyNumberFormat="1" applyFont="1" applyBorder="1" applyAlignment="1">
      <alignment/>
    </xf>
    <xf numFmtId="4" fontId="1" fillId="0" borderId="56" xfId="0" applyNumberFormat="1" applyFont="1" applyBorder="1" applyAlignment="1">
      <alignment/>
    </xf>
    <xf numFmtId="4" fontId="3" fillId="0" borderId="80" xfId="0" applyNumberFormat="1" applyFont="1" applyBorder="1" applyAlignment="1">
      <alignment/>
    </xf>
    <xf numFmtId="4" fontId="9" fillId="16" borderId="81" xfId="0" applyNumberFormat="1" applyFont="1" applyFill="1" applyBorder="1" applyAlignment="1">
      <alignment/>
    </xf>
    <xf numFmtId="4" fontId="6" fillId="19" borderId="81" xfId="0" applyNumberFormat="1" applyFont="1" applyFill="1" applyBorder="1" applyAlignment="1">
      <alignment/>
    </xf>
    <xf numFmtId="4" fontId="6" fillId="19" borderId="56" xfId="0" applyNumberFormat="1" applyFont="1" applyFill="1" applyBorder="1" applyAlignment="1">
      <alignment/>
    </xf>
    <xf numFmtId="4" fontId="3" fillId="0" borderId="78" xfId="0" applyNumberFormat="1" applyFont="1" applyBorder="1" applyAlignment="1">
      <alignment/>
    </xf>
    <xf numFmtId="4" fontId="6" fillId="19" borderId="78" xfId="0" applyNumberFormat="1" applyFont="1" applyFill="1" applyBorder="1" applyAlignment="1">
      <alignment/>
    </xf>
    <xf numFmtId="4" fontId="3" fillId="0" borderId="78" xfId="0" applyNumberFormat="1" applyFont="1" applyBorder="1" applyAlignment="1">
      <alignment/>
    </xf>
    <xf numFmtId="4" fontId="6" fillId="19" borderId="78" xfId="0" applyNumberFormat="1" applyFont="1" applyFill="1" applyBorder="1" applyAlignment="1">
      <alignment/>
    </xf>
    <xf numFmtId="4" fontId="3" fillId="0" borderId="82" xfId="0" applyNumberFormat="1" applyFont="1" applyBorder="1" applyAlignment="1">
      <alignment/>
    </xf>
    <xf numFmtId="4" fontId="9" fillId="16" borderId="77" xfId="0" applyNumberFormat="1" applyFont="1" applyFill="1" applyBorder="1" applyAlignment="1">
      <alignment/>
    </xf>
    <xf numFmtId="4" fontId="3" fillId="0" borderId="83" xfId="0" applyNumberFormat="1" applyFont="1" applyBorder="1" applyAlignment="1">
      <alignment/>
    </xf>
    <xf numFmtId="4" fontId="0" fillId="0" borderId="59" xfId="0" applyNumberFormat="1" applyFont="1" applyFill="1" applyBorder="1" applyAlignment="1">
      <alignment/>
    </xf>
    <xf numFmtId="4" fontId="9" fillId="16" borderId="47" xfId="0" applyNumberFormat="1" applyFont="1" applyFill="1" applyBorder="1" applyAlignment="1">
      <alignment/>
    </xf>
    <xf numFmtId="4" fontId="0" fillId="0" borderId="84" xfId="0" applyNumberFormat="1" applyBorder="1" applyAlignment="1">
      <alignment/>
    </xf>
    <xf numFmtId="4" fontId="1" fillId="0" borderId="85" xfId="0" applyNumberFormat="1" applyFont="1" applyBorder="1" applyAlignment="1">
      <alignment/>
    </xf>
    <xf numFmtId="4" fontId="3" fillId="0" borderId="86" xfId="0" applyNumberFormat="1" applyFont="1" applyBorder="1" applyAlignment="1">
      <alignment/>
    </xf>
    <xf numFmtId="4" fontId="3" fillId="0" borderId="87" xfId="0" applyNumberFormat="1" applyFont="1" applyBorder="1" applyAlignment="1">
      <alignment/>
    </xf>
    <xf numFmtId="4" fontId="3" fillId="0" borderId="88" xfId="0" applyNumberFormat="1" applyFont="1" applyBorder="1" applyAlignment="1">
      <alignment/>
    </xf>
    <xf numFmtId="4" fontId="3" fillId="0" borderId="89" xfId="0" applyNumberFormat="1" applyFont="1" applyBorder="1" applyAlignment="1">
      <alignment/>
    </xf>
    <xf numFmtId="4" fontId="1" fillId="16" borderId="47" xfId="0" applyNumberFormat="1" applyFont="1" applyFill="1" applyBorder="1" applyAlignment="1">
      <alignment/>
    </xf>
    <xf numFmtId="4" fontId="0" fillId="0" borderId="77" xfId="0" applyNumberFormat="1" applyBorder="1" applyAlignment="1">
      <alignment/>
    </xf>
    <xf numFmtId="4" fontId="0" fillId="0" borderId="83" xfId="0" applyNumberFormat="1" applyFont="1" applyBorder="1" applyAlignment="1">
      <alignment/>
    </xf>
    <xf numFmtId="4" fontId="0" fillId="0" borderId="59" xfId="0" applyNumberFormat="1" applyFont="1" applyBorder="1" applyAlignment="1">
      <alignment/>
    </xf>
    <xf numFmtId="4" fontId="0" fillId="0" borderId="59" xfId="0" applyNumberFormat="1" applyFont="1" applyBorder="1" applyAlignment="1">
      <alignment horizontal="right"/>
    </xf>
    <xf numFmtId="4" fontId="0" fillId="0" borderId="59" xfId="0" applyNumberFormat="1" applyBorder="1" applyAlignment="1">
      <alignment/>
    </xf>
    <xf numFmtId="4" fontId="0" fillId="0" borderId="79" xfId="0" applyNumberFormat="1" applyBorder="1" applyAlignment="1">
      <alignment/>
    </xf>
    <xf numFmtId="4" fontId="6" fillId="19" borderId="10" xfId="0" applyNumberFormat="1" applyFont="1" applyFill="1" applyBorder="1" applyAlignment="1">
      <alignment/>
    </xf>
    <xf numFmtId="4" fontId="9" fillId="16" borderId="78" xfId="0" applyNumberFormat="1" applyFont="1" applyFill="1" applyBorder="1" applyAlignment="1">
      <alignment horizontal="right"/>
    </xf>
    <xf numFmtId="4" fontId="0" fillId="0" borderId="58" xfId="0" applyNumberFormat="1" applyFont="1" applyBorder="1" applyAlignment="1">
      <alignment/>
    </xf>
    <xf numFmtId="4" fontId="9" fillId="16" borderId="56" xfId="0" applyNumberFormat="1" applyFont="1" applyFill="1" applyBorder="1" applyAlignment="1">
      <alignment/>
    </xf>
    <xf numFmtId="4" fontId="6" fillId="19" borderId="81" xfId="0" applyNumberFormat="1" applyFont="1" applyFill="1" applyBorder="1" applyAlignment="1">
      <alignment/>
    </xf>
    <xf numFmtId="4" fontId="6" fillId="19" borderId="56" xfId="0" applyNumberFormat="1" applyFont="1" applyFill="1" applyBorder="1" applyAlignment="1">
      <alignment horizontal="right"/>
    </xf>
    <xf numFmtId="4" fontId="6" fillId="19" borderId="90" xfId="0" applyNumberFormat="1" applyFont="1" applyFill="1" applyBorder="1" applyAlignment="1">
      <alignment vertical="center" wrapText="1"/>
    </xf>
    <xf numFmtId="4" fontId="3" fillId="0" borderId="83" xfId="0" applyNumberFormat="1" applyFont="1" applyFill="1" applyBorder="1" applyAlignment="1">
      <alignment/>
    </xf>
    <xf numFmtId="4" fontId="3" fillId="0" borderId="59" xfId="0" applyNumberFormat="1" applyFont="1" applyFill="1" applyBorder="1" applyAlignment="1">
      <alignment/>
    </xf>
    <xf numFmtId="4" fontId="3" fillId="0" borderId="80" xfId="0" applyNumberFormat="1" applyFont="1" applyFill="1" applyBorder="1" applyAlignment="1">
      <alignment/>
    </xf>
    <xf numFmtId="4" fontId="3" fillId="0" borderId="83" xfId="0" applyNumberFormat="1" applyFont="1" applyFill="1" applyBorder="1" applyAlignment="1">
      <alignment/>
    </xf>
    <xf numFmtId="4" fontId="3" fillId="0" borderId="59" xfId="0" applyNumberFormat="1" applyFont="1" applyFill="1" applyBorder="1" applyAlignment="1">
      <alignment/>
    </xf>
    <xf numFmtId="4" fontId="3" fillId="0" borderId="79" xfId="0" applyNumberFormat="1" applyFont="1" applyFill="1" applyBorder="1" applyAlignment="1">
      <alignment/>
    </xf>
    <xf numFmtId="4" fontId="3" fillId="0" borderId="56" xfId="0" applyNumberFormat="1" applyFont="1" applyFill="1" applyBorder="1" applyAlignment="1">
      <alignment/>
    </xf>
    <xf numFmtId="4" fontId="3" fillId="0" borderId="58" xfId="0" applyNumberFormat="1" applyFont="1" applyFill="1" applyBorder="1" applyAlignment="1">
      <alignment/>
    </xf>
    <xf numFmtId="4" fontId="3" fillId="0" borderId="78" xfId="0" applyNumberFormat="1" applyFont="1" applyFill="1" applyBorder="1" applyAlignment="1">
      <alignment/>
    </xf>
    <xf numFmtId="4" fontId="3" fillId="0" borderId="56" xfId="0" applyNumberFormat="1" applyFont="1" applyFill="1" applyBorder="1" applyAlignment="1">
      <alignment/>
    </xf>
    <xf numFmtId="4" fontId="3" fillId="0" borderId="80" xfId="0" applyNumberFormat="1" applyFont="1" applyFill="1" applyBorder="1" applyAlignment="1">
      <alignment/>
    </xf>
    <xf numFmtId="4" fontId="3" fillId="0" borderId="88" xfId="0" applyNumberFormat="1" applyFont="1" applyFill="1" applyBorder="1" applyAlignment="1">
      <alignment/>
    </xf>
    <xf numFmtId="4" fontId="3" fillId="0" borderId="89" xfId="0" applyNumberFormat="1" applyFont="1" applyFill="1" applyBorder="1" applyAlignment="1">
      <alignment/>
    </xf>
    <xf numFmtId="4" fontId="0" fillId="0" borderId="89" xfId="0" applyNumberFormat="1" applyFont="1" applyFill="1" applyBorder="1" applyAlignment="1">
      <alignment/>
    </xf>
    <xf numFmtId="4" fontId="0" fillId="0" borderId="87" xfId="0" applyNumberFormat="1" applyFont="1" applyFill="1" applyBorder="1" applyAlignment="1">
      <alignment/>
    </xf>
    <xf numFmtId="4" fontId="3" fillId="0" borderId="79" xfId="0" applyNumberFormat="1" applyFont="1" applyFill="1" applyBorder="1" applyAlignment="1">
      <alignment/>
    </xf>
    <xf numFmtId="4" fontId="1" fillId="19" borderId="78" xfId="0" applyNumberFormat="1" applyFont="1" applyFill="1" applyBorder="1" applyAlignment="1">
      <alignment/>
    </xf>
    <xf numFmtId="4" fontId="3" fillId="0" borderId="58" xfId="0" applyNumberFormat="1" applyFont="1" applyFill="1" applyBorder="1" applyAlignment="1">
      <alignment/>
    </xf>
    <xf numFmtId="4" fontId="1" fillId="0" borderId="56" xfId="0" applyNumberFormat="1" applyFont="1" applyFill="1" applyBorder="1" applyAlignment="1">
      <alignment/>
    </xf>
    <xf numFmtId="4" fontId="0" fillId="0" borderId="57" xfId="0" applyNumberFormat="1" applyFont="1" applyFill="1" applyBorder="1" applyAlignment="1">
      <alignment/>
    </xf>
    <xf numFmtId="4" fontId="1" fillId="0" borderId="56" xfId="0" applyNumberFormat="1" applyFont="1" applyFill="1" applyBorder="1" applyAlignment="1">
      <alignment/>
    </xf>
    <xf numFmtId="4" fontId="3" fillId="0" borderId="78" xfId="0" applyNumberFormat="1" applyFont="1" applyFill="1" applyBorder="1" applyAlignment="1">
      <alignment/>
    </xf>
    <xf numFmtId="4" fontId="1" fillId="0" borderId="80" xfId="0" applyNumberFormat="1" applyFont="1" applyFill="1" applyBorder="1" applyAlignment="1">
      <alignment/>
    </xf>
    <xf numFmtId="4" fontId="8" fillId="19" borderId="56" xfId="0" applyNumberFormat="1" applyFont="1" applyFill="1" applyBorder="1" applyAlignment="1">
      <alignment vertical="center" wrapText="1"/>
    </xf>
    <xf numFmtId="4" fontId="2" fillId="0" borderId="56" xfId="0" applyNumberFormat="1" applyFont="1" applyFill="1" applyBorder="1" applyAlignment="1">
      <alignment vertical="center" wrapText="1"/>
    </xf>
    <xf numFmtId="4" fontId="0" fillId="0" borderId="83" xfId="0" applyNumberFormat="1" applyFont="1" applyFill="1" applyBorder="1" applyAlignment="1">
      <alignment vertical="center" wrapText="1"/>
    </xf>
    <xf numFmtId="4" fontId="0" fillId="0" borderId="59" xfId="0" applyNumberFormat="1" applyFont="1" applyFill="1" applyBorder="1" applyAlignment="1">
      <alignment vertical="center" wrapText="1"/>
    </xf>
    <xf numFmtId="4" fontId="0" fillId="0" borderId="57" xfId="0" applyNumberFormat="1" applyFont="1" applyFill="1" applyBorder="1" applyAlignment="1">
      <alignment vertical="center" wrapText="1"/>
    </xf>
    <xf numFmtId="4" fontId="0" fillId="0" borderId="80" xfId="0" applyNumberFormat="1" applyFont="1" applyFill="1" applyBorder="1" applyAlignment="1">
      <alignment vertical="center" wrapText="1"/>
    </xf>
    <xf numFmtId="0" fontId="1" fillId="0" borderId="76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9" fillId="16" borderId="91" xfId="0" applyFont="1" applyFill="1" applyBorder="1" applyAlignment="1">
      <alignment horizontal="center"/>
    </xf>
    <xf numFmtId="0" fontId="9" fillId="16" borderId="33" xfId="0" applyFont="1" applyFill="1" applyBorder="1" applyAlignment="1">
      <alignment/>
    </xf>
    <xf numFmtId="0" fontId="6" fillId="19" borderId="30" xfId="0" applyFont="1" applyFill="1" applyBorder="1" applyAlignment="1">
      <alignment/>
    </xf>
    <xf numFmtId="0" fontId="6" fillId="0" borderId="31" xfId="0" applyFont="1" applyBorder="1" applyAlignment="1">
      <alignment horizontal="center"/>
    </xf>
    <xf numFmtId="0" fontId="9" fillId="16" borderId="46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8" fillId="19" borderId="33" xfId="0" applyFont="1" applyFill="1" applyBorder="1" applyAlignment="1">
      <alignment/>
    </xf>
    <xf numFmtId="49" fontId="6" fillId="19" borderId="30" xfId="0" applyNumberFormat="1" applyFont="1" applyFill="1" applyBorder="1" applyAlignment="1">
      <alignment horizontal="left"/>
    </xf>
    <xf numFmtId="3" fontId="1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0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72" xfId="0" applyNumberFormat="1" applyFont="1" applyFill="1" applyBorder="1" applyAlignment="1">
      <alignment horizontal="left"/>
    </xf>
    <xf numFmtId="0" fontId="3" fillId="0" borderId="2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3" fillId="0" borderId="61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72" xfId="0" applyFont="1" applyFill="1" applyBorder="1" applyAlignment="1">
      <alignment/>
    </xf>
    <xf numFmtId="0" fontId="3" fillId="0" borderId="22" xfId="0" applyFont="1" applyFill="1" applyBorder="1" applyAlignment="1">
      <alignment horizontal="left"/>
    </xf>
    <xf numFmtId="3" fontId="1" fillId="19" borderId="50" xfId="0" applyNumberFormat="1" applyFont="1" applyFill="1" applyBorder="1" applyAlignment="1">
      <alignment/>
    </xf>
    <xf numFmtId="49" fontId="3" fillId="0" borderId="22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right"/>
    </xf>
    <xf numFmtId="0" fontId="3" fillId="0" borderId="17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3" fontId="3" fillId="0" borderId="75" xfId="0" applyNumberFormat="1" applyFont="1" applyFill="1" applyBorder="1" applyAlignment="1">
      <alignment/>
    </xf>
    <xf numFmtId="3" fontId="17" fillId="0" borderId="26" xfId="0" applyNumberFormat="1" applyFont="1" applyFill="1" applyBorder="1" applyAlignment="1">
      <alignment/>
    </xf>
    <xf numFmtId="4" fontId="6" fillId="19" borderId="39" xfId="0" applyNumberFormat="1" applyFont="1" applyFill="1" applyBorder="1" applyAlignment="1">
      <alignment vertical="center" wrapText="1"/>
    </xf>
    <xf numFmtId="4" fontId="3" fillId="0" borderId="18" xfId="0" applyNumberFormat="1" applyFont="1" applyFill="1" applyBorder="1" applyAlignment="1">
      <alignment vertical="center"/>
    </xf>
    <xf numFmtId="4" fontId="3" fillId="0" borderId="19" xfId="0" applyNumberFormat="1" applyFont="1" applyFill="1" applyBorder="1" applyAlignment="1">
      <alignment vertical="center"/>
    </xf>
    <xf numFmtId="4" fontId="3" fillId="0" borderId="53" xfId="0" applyNumberFormat="1" applyFont="1" applyFill="1" applyBorder="1" applyAlignment="1">
      <alignment vertical="center"/>
    </xf>
    <xf numFmtId="4" fontId="3" fillId="0" borderId="18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3" fillId="0" borderId="92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3" fillId="0" borderId="73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9" fillId="16" borderId="3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4" fontId="3" fillId="0" borderId="26" xfId="0" applyNumberFormat="1" applyFont="1" applyFill="1" applyBorder="1" applyAlignment="1">
      <alignment/>
    </xf>
    <xf numFmtId="4" fontId="3" fillId="0" borderId="49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6" fillId="19" borderId="10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61" xfId="0" applyNumberFormat="1" applyFont="1" applyFill="1" applyBorder="1" applyAlignment="1">
      <alignment/>
    </xf>
    <xf numFmtId="4" fontId="3" fillId="0" borderId="69" xfId="0" applyNumberFormat="1" applyFont="1" applyFill="1" applyBorder="1" applyAlignment="1">
      <alignment horizontal="right"/>
    </xf>
    <xf numFmtId="4" fontId="3" fillId="0" borderId="74" xfId="0" applyNumberFormat="1" applyFont="1" applyFill="1" applyBorder="1" applyAlignment="1">
      <alignment horizontal="right"/>
    </xf>
    <xf numFmtId="4" fontId="3" fillId="0" borderId="74" xfId="0" applyNumberFormat="1" applyFont="1" applyFill="1" applyBorder="1" applyAlignment="1">
      <alignment horizontal="left"/>
    </xf>
    <xf numFmtId="4" fontId="3" fillId="0" borderId="72" xfId="0" applyNumberFormat="1" applyFont="1" applyFill="1" applyBorder="1" applyAlignment="1">
      <alignment/>
    </xf>
    <xf numFmtId="4" fontId="6" fillId="19" borderId="12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4" fontId="3" fillId="0" borderId="43" xfId="0" applyNumberFormat="1" applyFont="1" applyFill="1" applyBorder="1" applyAlignment="1">
      <alignment/>
    </xf>
    <xf numFmtId="4" fontId="3" fillId="0" borderId="69" xfId="0" applyNumberFormat="1" applyFont="1" applyFill="1" applyBorder="1" applyAlignment="1">
      <alignment/>
    </xf>
    <xf numFmtId="4" fontId="3" fillId="0" borderId="71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3" fillId="0" borderId="50" xfId="0" applyNumberFormat="1" applyFont="1" applyFill="1" applyBorder="1" applyAlignment="1">
      <alignment/>
    </xf>
    <xf numFmtId="4" fontId="8" fillId="19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0" fillId="0" borderId="0" xfId="0" applyNumberFormat="1" applyFont="1" applyFill="1" applyAlignment="1">
      <alignment/>
    </xf>
    <xf numFmtId="4" fontId="3" fillId="0" borderId="10" xfId="0" applyNumberFormat="1" applyFont="1" applyFill="1" applyBorder="1" applyAlignment="1">
      <alignment/>
    </xf>
    <xf numFmtId="2" fontId="3" fillId="0" borderId="71" xfId="0" applyNumberFormat="1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4" fontId="3" fillId="0" borderId="28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9" fillId="16" borderId="55" xfId="0" applyNumberFormat="1" applyFont="1" applyFill="1" applyBorder="1" applyAlignment="1">
      <alignment/>
    </xf>
    <xf numFmtId="4" fontId="6" fillId="19" borderId="11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3" fillId="0" borderId="28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9" fillId="16" borderId="29" xfId="0" applyNumberFormat="1" applyFont="1" applyFill="1" applyBorder="1" applyAlignment="1">
      <alignment/>
    </xf>
    <xf numFmtId="4" fontId="6" fillId="19" borderId="29" xfId="0" applyNumberFormat="1" applyFont="1" applyFill="1" applyBorder="1" applyAlignment="1">
      <alignment/>
    </xf>
    <xf numFmtId="4" fontId="3" fillId="0" borderId="43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3" fillId="0" borderId="49" xfId="0" applyNumberFormat="1" applyFont="1" applyBorder="1" applyAlignment="1">
      <alignment/>
    </xf>
    <xf numFmtId="4" fontId="3" fillId="0" borderId="54" xfId="0" applyNumberFormat="1" applyFont="1" applyBorder="1" applyAlignment="1">
      <alignment/>
    </xf>
    <xf numFmtId="4" fontId="3" fillId="0" borderId="54" xfId="0" applyNumberFormat="1" applyFont="1" applyBorder="1" applyAlignment="1">
      <alignment/>
    </xf>
    <xf numFmtId="4" fontId="6" fillId="19" borderId="12" xfId="0" applyNumberFormat="1" applyFont="1" applyFill="1" applyBorder="1" applyAlignment="1">
      <alignment/>
    </xf>
    <xf numFmtId="4" fontId="3" fillId="0" borderId="64" xfId="0" applyNumberFormat="1" applyFont="1" applyBorder="1" applyAlignment="1">
      <alignment/>
    </xf>
    <xf numFmtId="4" fontId="9" fillId="16" borderId="55" xfId="0" applyNumberFormat="1" applyFont="1" applyFill="1" applyBorder="1" applyAlignment="1">
      <alignment/>
    </xf>
    <xf numFmtId="4" fontId="1" fillId="0" borderId="5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2" fontId="9" fillId="16" borderId="12" xfId="0" applyNumberFormat="1" applyFont="1" applyFill="1" applyBorder="1" applyAlignment="1">
      <alignment horizontal="right"/>
    </xf>
    <xf numFmtId="2" fontId="6" fillId="19" borderId="23" xfId="0" applyNumberFormat="1" applyFont="1" applyFill="1" applyBorder="1" applyAlignment="1">
      <alignment/>
    </xf>
    <xf numFmtId="2" fontId="1" fillId="0" borderId="23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2" fontId="3" fillId="0" borderId="49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4" fontId="0" fillId="0" borderId="62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8" fillId="0" borderId="48" xfId="0" applyNumberFormat="1" applyFont="1" applyBorder="1" applyAlignment="1">
      <alignment vertical="center"/>
    </xf>
    <xf numFmtId="4" fontId="1" fillId="0" borderId="93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7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0" fillId="0" borderId="49" xfId="0" applyNumberFormat="1" applyFont="1" applyBorder="1" applyAlignment="1">
      <alignment/>
    </xf>
    <xf numFmtId="4" fontId="1" fillId="16" borderId="3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0" fontId="18" fillId="0" borderId="0" xfId="0" applyFont="1" applyAlignment="1">
      <alignment/>
    </xf>
    <xf numFmtId="4" fontId="6" fillId="19" borderId="54" xfId="0" applyNumberFormat="1" applyFont="1" applyFill="1" applyBorder="1" applyAlignment="1">
      <alignment/>
    </xf>
    <xf numFmtId="4" fontId="3" fillId="0" borderId="76" xfId="0" applyNumberFormat="1" applyFont="1" applyBorder="1" applyAlignment="1">
      <alignment/>
    </xf>
    <xf numFmtId="4" fontId="3" fillId="0" borderId="74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6" fillId="19" borderId="72" xfId="0" applyNumberFormat="1" applyFont="1" applyFill="1" applyBorder="1" applyAlignment="1">
      <alignment horizontal="left"/>
    </xf>
    <xf numFmtId="4" fontId="1" fillId="19" borderId="24" xfId="0" applyNumberFormat="1" applyFont="1" applyFill="1" applyBorder="1" applyAlignment="1">
      <alignment horizontal="right"/>
    </xf>
    <xf numFmtId="4" fontId="0" fillId="0" borderId="15" xfId="0" applyNumberFormat="1" applyBorder="1" applyAlignment="1">
      <alignment/>
    </xf>
    <xf numFmtId="4" fontId="8" fillId="0" borderId="48" xfId="0" applyNumberFormat="1" applyFont="1" applyBorder="1" applyAlignment="1">
      <alignment/>
    </xf>
    <xf numFmtId="4" fontId="12" fillId="19" borderId="34" xfId="0" applyNumberFormat="1" applyFont="1" applyFill="1" applyBorder="1" applyAlignment="1">
      <alignment/>
    </xf>
    <xf numFmtId="4" fontId="6" fillId="19" borderId="78" xfId="0" applyNumberFormat="1" applyFont="1" applyFill="1" applyBorder="1" applyAlignment="1">
      <alignment horizontal="right"/>
    </xf>
    <xf numFmtId="4" fontId="0" fillId="0" borderId="94" xfId="0" applyNumberFormat="1" applyFont="1" applyBorder="1" applyAlignment="1">
      <alignment/>
    </xf>
    <xf numFmtId="4" fontId="1" fillId="19" borderId="56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3" fillId="0" borderId="26" xfId="0" applyNumberFormat="1" applyFont="1" applyBorder="1" applyAlignment="1">
      <alignment/>
    </xf>
    <xf numFmtId="4" fontId="3" fillId="0" borderId="43" xfId="0" applyNumberFormat="1" applyFont="1" applyBorder="1" applyAlignment="1">
      <alignment/>
    </xf>
    <xf numFmtId="0" fontId="9" fillId="16" borderId="50" xfId="0" applyFont="1" applyFill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9" fillId="16" borderId="23" xfId="0" applyFont="1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9" fillId="16" borderId="54" xfId="0" applyFont="1" applyFill="1" applyBorder="1" applyAlignment="1">
      <alignment horizontal="left"/>
    </xf>
    <xf numFmtId="0" fontId="6" fillId="19" borderId="68" xfId="0" applyFont="1" applyFill="1" applyBorder="1" applyAlignment="1">
      <alignment horizontal="left"/>
    </xf>
    <xf numFmtId="0" fontId="6" fillId="19" borderId="54" xfId="0" applyFont="1" applyFill="1" applyBorder="1" applyAlignment="1">
      <alignment horizontal="left"/>
    </xf>
    <xf numFmtId="0" fontId="6" fillId="19" borderId="50" xfId="0" applyFont="1" applyFill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5" xfId="0" applyFont="1" applyBorder="1" applyAlignment="1">
      <alignment horizontal="center"/>
    </xf>
    <xf numFmtId="0" fontId="6" fillId="19" borderId="23" xfId="0" applyFont="1" applyFill="1" applyBorder="1" applyAlignment="1">
      <alignment horizontal="left"/>
    </xf>
    <xf numFmtId="0" fontId="9" fillId="16" borderId="96" xfId="0" applyFont="1" applyFill="1" applyBorder="1" applyAlignment="1">
      <alignment horizontal="left"/>
    </xf>
    <xf numFmtId="0" fontId="9" fillId="16" borderId="97" xfId="0" applyFont="1" applyFill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16" borderId="39" xfId="0" applyFont="1" applyFill="1" applyBorder="1" applyAlignment="1">
      <alignment horizontal="center" vertical="center" wrapText="1"/>
    </xf>
    <xf numFmtId="0" fontId="1" fillId="16" borderId="95" xfId="0" applyFont="1" applyFill="1" applyBorder="1" applyAlignment="1">
      <alignment horizontal="center" vertical="center" wrapText="1"/>
    </xf>
    <xf numFmtId="3" fontId="1" fillId="16" borderId="90" xfId="0" applyNumberFormat="1" applyFont="1" applyFill="1" applyBorder="1" applyAlignment="1">
      <alignment horizontal="center" vertical="center" wrapText="1"/>
    </xf>
    <xf numFmtId="3" fontId="1" fillId="16" borderId="98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99" xfId="0" applyFont="1" applyBorder="1" applyAlignment="1">
      <alignment horizontal="left"/>
    </xf>
    <xf numFmtId="0" fontId="11" fillId="16" borderId="38" xfId="0" applyFont="1" applyFill="1" applyBorder="1" applyAlignment="1">
      <alignment horizontal="center" vertical="center" wrapText="1"/>
    </xf>
    <xf numFmtId="0" fontId="11" fillId="16" borderId="100" xfId="0" applyFont="1" applyFill="1" applyBorder="1" applyAlignment="1">
      <alignment horizontal="center" vertical="center" wrapText="1"/>
    </xf>
    <xf numFmtId="0" fontId="11" fillId="16" borderId="39" xfId="0" applyFont="1" applyFill="1" applyBorder="1" applyAlignment="1">
      <alignment horizontal="center" vertical="center" wrapText="1"/>
    </xf>
    <xf numFmtId="0" fontId="11" fillId="16" borderId="95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0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19" borderId="23" xfId="0" applyFont="1" applyFill="1" applyBorder="1" applyAlignment="1">
      <alignment horizontal="left"/>
    </xf>
    <xf numFmtId="0" fontId="6" fillId="19" borderId="68" xfId="0" applyFont="1" applyFill="1" applyBorder="1" applyAlignment="1">
      <alignment horizontal="left"/>
    </xf>
    <xf numFmtId="0" fontId="9" fillId="16" borderId="101" xfId="0" applyFont="1" applyFill="1" applyBorder="1" applyAlignment="1">
      <alignment horizontal="left"/>
    </xf>
    <xf numFmtId="0" fontId="9" fillId="16" borderId="91" xfId="0" applyFont="1" applyFill="1" applyBorder="1" applyAlignment="1">
      <alignment horizontal="left"/>
    </xf>
    <xf numFmtId="0" fontId="9" fillId="16" borderId="102" xfId="0" applyFont="1" applyFill="1" applyBorder="1" applyAlignment="1">
      <alignment horizontal="left"/>
    </xf>
    <xf numFmtId="0" fontId="3" fillId="0" borderId="36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9" fillId="16" borderId="24" xfId="0" applyFont="1" applyFill="1" applyBorder="1" applyAlignment="1">
      <alignment horizontal="left"/>
    </xf>
    <xf numFmtId="0" fontId="1" fillId="0" borderId="103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6" fillId="19" borderId="24" xfId="0" applyFont="1" applyFill="1" applyBorder="1" applyAlignment="1">
      <alignment horizontal="left"/>
    </xf>
    <xf numFmtId="0" fontId="3" fillId="0" borderId="42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0" fontId="6" fillId="19" borderId="104" xfId="0" applyFont="1" applyFill="1" applyBorder="1" applyAlignment="1">
      <alignment horizontal="left" vertical="center" wrapText="1"/>
    </xf>
    <xf numFmtId="0" fontId="6" fillId="19" borderId="97" xfId="0" applyFont="1" applyFill="1" applyBorder="1" applyAlignment="1">
      <alignment horizontal="left" vertical="center" wrapText="1"/>
    </xf>
    <xf numFmtId="16" fontId="1" fillId="0" borderId="99" xfId="0" applyNumberFormat="1" applyFont="1" applyFill="1" applyBorder="1" applyAlignment="1">
      <alignment horizontal="left"/>
    </xf>
    <xf numFmtId="49" fontId="5" fillId="16" borderId="38" xfId="0" applyNumberFormat="1" applyFont="1" applyFill="1" applyBorder="1" applyAlignment="1">
      <alignment horizontal="center" vertical="center" wrapText="1"/>
    </xf>
    <xf numFmtId="49" fontId="5" fillId="16" borderId="100" xfId="0" applyNumberFormat="1" applyFont="1" applyFill="1" applyBorder="1" applyAlignment="1">
      <alignment horizontal="center" vertical="center" wrapText="1"/>
    </xf>
    <xf numFmtId="16" fontId="1" fillId="16" borderId="105" xfId="0" applyNumberFormat="1" applyFont="1" applyFill="1" applyBorder="1" applyAlignment="1">
      <alignment horizontal="center" vertical="center" wrapText="1"/>
    </xf>
    <xf numFmtId="16" fontId="1" fillId="16" borderId="106" xfId="0" applyNumberFormat="1" applyFont="1" applyFill="1" applyBorder="1" applyAlignment="1">
      <alignment horizontal="center" vertical="center" wrapText="1"/>
    </xf>
    <xf numFmtId="0" fontId="1" fillId="16" borderId="39" xfId="0" applyFont="1" applyFill="1" applyBorder="1" applyAlignment="1">
      <alignment horizontal="center" vertical="center"/>
    </xf>
    <xf numFmtId="0" fontId="1" fillId="16" borderId="95" xfId="0" applyFont="1" applyFill="1" applyBorder="1" applyAlignment="1">
      <alignment horizontal="center" vertical="center"/>
    </xf>
    <xf numFmtId="49" fontId="6" fillId="19" borderId="72" xfId="0" applyNumberFormat="1" applyFont="1" applyFill="1" applyBorder="1" applyAlignment="1">
      <alignment horizontal="left"/>
    </xf>
    <xf numFmtId="49" fontId="6" fillId="19" borderId="50" xfId="0" applyNumberFormat="1" applyFont="1" applyFill="1" applyBorder="1" applyAlignment="1">
      <alignment horizontal="left"/>
    </xf>
    <xf numFmtId="0" fontId="6" fillId="19" borderId="72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68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16" fontId="6" fillId="0" borderId="42" xfId="0" applyNumberFormat="1" applyFont="1" applyFill="1" applyBorder="1" applyAlignment="1">
      <alignment horizontal="center"/>
    </xf>
    <xf numFmtId="16" fontId="6" fillId="0" borderId="31" xfId="0" applyNumberFormat="1" applyFont="1" applyFill="1" applyBorder="1" applyAlignment="1">
      <alignment horizontal="center"/>
    </xf>
    <xf numFmtId="16" fontId="6" fillId="0" borderId="33" xfId="0" applyNumberFormat="1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1" fillId="19" borderId="24" xfId="0" applyNumberFormat="1" applyFont="1" applyFill="1" applyBorder="1" applyAlignment="1">
      <alignment horizontal="left"/>
    </xf>
    <xf numFmtId="0" fontId="1" fillId="19" borderId="68" xfId="0" applyNumberFormat="1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68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68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center" vertical="center" wrapText="1"/>
    </xf>
    <xf numFmtId="0" fontId="6" fillId="19" borderId="72" xfId="0" applyFont="1" applyFill="1" applyBorder="1" applyAlignment="1">
      <alignment horizontal="left" vertical="center" wrapText="1"/>
    </xf>
    <xf numFmtId="0" fontId="6" fillId="19" borderId="50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68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9" fillId="16" borderId="68" xfId="0" applyFont="1" applyFill="1" applyBorder="1" applyAlignment="1">
      <alignment horizontal="left"/>
    </xf>
    <xf numFmtId="0" fontId="3" fillId="0" borderId="4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50" xfId="0" applyFont="1" applyBorder="1" applyAlignment="1">
      <alignment horizontal="center"/>
    </xf>
    <xf numFmtId="0" fontId="9" fillId="16" borderId="72" xfId="0" applyFont="1" applyFill="1" applyBorder="1" applyAlignment="1">
      <alignment horizontal="left"/>
    </xf>
    <xf numFmtId="0" fontId="11" fillId="16" borderId="105" xfId="0" applyFont="1" applyFill="1" applyBorder="1" applyAlignment="1">
      <alignment horizontal="center" vertical="center" wrapText="1"/>
    </xf>
    <xf numFmtId="0" fontId="11" fillId="16" borderId="106" xfId="0" applyFont="1" applyFill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181" fontId="1" fillId="0" borderId="11" xfId="0" applyNumberFormat="1" applyFont="1" applyBorder="1" applyAlignment="1">
      <alignment horizontal="center"/>
    </xf>
    <xf numFmtId="181" fontId="1" fillId="0" borderId="12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0" fontId="6" fillId="19" borderId="12" xfId="0" applyFont="1" applyFill="1" applyBorder="1" applyAlignment="1">
      <alignment horizontal="left"/>
    </xf>
    <xf numFmtId="16" fontId="1" fillId="0" borderId="99" xfId="0" applyNumberFormat="1" applyFont="1" applyBorder="1" applyAlignment="1">
      <alignment horizontal="left"/>
    </xf>
    <xf numFmtId="16" fontId="1" fillId="16" borderId="39" xfId="0" applyNumberFormat="1" applyFont="1" applyFill="1" applyBorder="1" applyAlignment="1">
      <alignment horizontal="center" vertical="center" wrapText="1"/>
    </xf>
    <xf numFmtId="16" fontId="1" fillId="16" borderId="95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6" fillId="19" borderId="10" xfId="0" applyFont="1" applyFill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9" fillId="16" borderId="46" xfId="0" applyFont="1" applyFill="1" applyBorder="1" applyAlignment="1">
      <alignment horizontal="left"/>
    </xf>
    <xf numFmtId="0" fontId="9" fillId="16" borderId="34" xfId="0" applyFont="1" applyFill="1" applyBorder="1" applyAlignment="1">
      <alignment horizontal="left"/>
    </xf>
    <xf numFmtId="49" fontId="1" fillId="19" borderId="23" xfId="0" applyNumberFormat="1" applyFont="1" applyFill="1" applyBorder="1" applyAlignment="1">
      <alignment horizontal="left"/>
    </xf>
    <xf numFmtId="49" fontId="1" fillId="19" borderId="68" xfId="0" applyNumberFormat="1" applyFont="1" applyFill="1" applyBorder="1" applyAlignment="1">
      <alignment horizontal="left"/>
    </xf>
    <xf numFmtId="49" fontId="6" fillId="19" borderId="10" xfId="0" applyNumberFormat="1" applyFont="1" applyFill="1" applyBorder="1" applyAlignment="1">
      <alignment horizontal="left"/>
    </xf>
    <xf numFmtId="0" fontId="0" fillId="0" borderId="107" xfId="0" applyBorder="1" applyAlignment="1">
      <alignment horizontal="center"/>
    </xf>
    <xf numFmtId="0" fontId="1" fillId="16" borderId="101" xfId="0" applyFont="1" applyFill="1" applyBorder="1" applyAlignment="1">
      <alignment horizontal="left"/>
    </xf>
    <xf numFmtId="0" fontId="1" fillId="16" borderId="91" xfId="0" applyFont="1" applyFill="1" applyBorder="1" applyAlignment="1">
      <alignment horizontal="left"/>
    </xf>
    <xf numFmtId="0" fontId="1" fillId="16" borderId="102" xfId="0" applyFont="1" applyFill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68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00" xfId="0" applyBorder="1" applyAlignment="1">
      <alignment horizontal="center"/>
    </xf>
    <xf numFmtId="49" fontId="11" fillId="16" borderId="38" xfId="0" applyNumberFormat="1" applyFont="1" applyFill="1" applyBorder="1" applyAlignment="1">
      <alignment horizontal="center" vertical="center" wrapText="1"/>
    </xf>
    <xf numFmtId="49" fontId="11" fillId="16" borderId="10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99" xfId="0" applyBorder="1" applyAlignment="1">
      <alignment horizontal="center"/>
    </xf>
    <xf numFmtId="0" fontId="1" fillId="16" borderId="11" xfId="0" applyFont="1" applyFill="1" applyBorder="1" applyAlignment="1">
      <alignment horizontal="center" vertical="center" wrapText="1"/>
    </xf>
    <xf numFmtId="0" fontId="1" fillId="16" borderId="38" xfId="0" applyFont="1" applyFill="1" applyBorder="1" applyAlignment="1">
      <alignment horizontal="center" vertical="center" wrapText="1"/>
    </xf>
    <xf numFmtId="0" fontId="1" fillId="16" borderId="31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0" xfId="0" applyAlignment="1">
      <alignment horizontal="center"/>
    </xf>
    <xf numFmtId="0" fontId="12" fillId="0" borderId="108" xfId="0" applyFont="1" applyBorder="1" applyAlignment="1">
      <alignment horizontal="left" vertical="center"/>
    </xf>
    <xf numFmtId="0" fontId="12" fillId="0" borderId="107" xfId="0" applyFont="1" applyBorder="1" applyAlignment="1">
      <alignment horizontal="left" vertical="center"/>
    </xf>
    <xf numFmtId="0" fontId="12" fillId="0" borderId="109" xfId="0" applyFont="1" applyBorder="1" applyAlignment="1">
      <alignment horizontal="left" vertical="center"/>
    </xf>
    <xf numFmtId="0" fontId="12" fillId="0" borderId="110" xfId="0" applyFont="1" applyBorder="1" applyAlignment="1">
      <alignment horizontal="left" vertical="center"/>
    </xf>
    <xf numFmtId="0" fontId="12" fillId="0" borderId="99" xfId="0" applyFont="1" applyBorder="1" applyAlignment="1">
      <alignment horizontal="left" vertical="center"/>
    </xf>
    <xf numFmtId="0" fontId="12" fillId="0" borderId="111" xfId="0" applyFont="1" applyBorder="1" applyAlignment="1">
      <alignment horizontal="left" vertical="center"/>
    </xf>
    <xf numFmtId="0" fontId="0" fillId="0" borderId="110" xfId="0" applyBorder="1" applyAlignment="1">
      <alignment horizontal="center"/>
    </xf>
    <xf numFmtId="0" fontId="0" fillId="0" borderId="111" xfId="0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L163"/>
  <sheetViews>
    <sheetView showGridLines="0" zoomScalePageLayoutView="0" workbookViewId="0" topLeftCell="A93">
      <selection activeCell="F19" sqref="F19"/>
    </sheetView>
  </sheetViews>
  <sheetFormatPr defaultColWidth="9.140625" defaultRowHeight="12.75"/>
  <cols>
    <col min="1" max="1" width="1.7109375" style="282" customWidth="1"/>
    <col min="2" max="2" width="8.28125" style="284" customWidth="1"/>
    <col min="3" max="3" width="7.140625" style="282" customWidth="1"/>
    <col min="4" max="4" width="37.140625" style="282" customWidth="1"/>
    <col min="5" max="5" width="13.140625" style="282" customWidth="1"/>
    <col min="6" max="6" width="12.00390625" style="282" customWidth="1"/>
    <col min="7" max="7" width="14.421875" style="282" customWidth="1"/>
    <col min="8" max="8" width="11.421875" style="47" customWidth="1"/>
    <col min="9" max="9" width="11.421875" style="282" customWidth="1"/>
    <col min="10" max="10" width="11.421875" style="282" bestFit="1" customWidth="1"/>
    <col min="11" max="11" width="14.7109375" style="282" bestFit="1" customWidth="1"/>
    <col min="12" max="12" width="14.00390625" style="282" customWidth="1"/>
    <col min="13" max="16384" width="9.140625" style="282" customWidth="1"/>
  </cols>
  <sheetData>
    <row r="1" spans="2:8" ht="12.75">
      <c r="B1" s="582" t="s">
        <v>269</v>
      </c>
      <c r="C1" s="582"/>
      <c r="D1" s="582"/>
      <c r="E1" s="214"/>
      <c r="F1" s="214"/>
      <c r="G1" s="214"/>
      <c r="H1" s="214"/>
    </row>
    <row r="2" spans="2:8" ht="13.5" thickBot="1">
      <c r="B2" s="583" t="s">
        <v>75</v>
      </c>
      <c r="C2" s="583"/>
      <c r="D2" s="583"/>
      <c r="E2" s="214"/>
      <c r="F2" s="214"/>
      <c r="G2" s="214"/>
      <c r="H2" s="214"/>
    </row>
    <row r="3" spans="2:9" ht="16.5" customHeight="1" thickTop="1">
      <c r="B3" s="584" t="s">
        <v>109</v>
      </c>
      <c r="C3" s="586" t="s">
        <v>59</v>
      </c>
      <c r="D3" s="578" t="s">
        <v>124</v>
      </c>
      <c r="E3" s="578" t="s">
        <v>354</v>
      </c>
      <c r="F3" s="578" t="s">
        <v>353</v>
      </c>
      <c r="G3" s="578" t="s">
        <v>369</v>
      </c>
      <c r="H3" s="578" t="s">
        <v>370</v>
      </c>
      <c r="I3" s="580" t="s">
        <v>368</v>
      </c>
    </row>
    <row r="4" spans="2:9" ht="24" customHeight="1" thickBot="1">
      <c r="B4" s="585"/>
      <c r="C4" s="587"/>
      <c r="D4" s="579"/>
      <c r="E4" s="579"/>
      <c r="F4" s="579"/>
      <c r="G4" s="579"/>
      <c r="H4" s="579"/>
      <c r="I4" s="581"/>
    </row>
    <row r="5" spans="2:9" s="46" customFormat="1" ht="17.25" thickBot="1" thickTop="1">
      <c r="B5" s="108">
        <v>100</v>
      </c>
      <c r="C5" s="567" t="s">
        <v>76</v>
      </c>
      <c r="D5" s="562"/>
      <c r="E5" s="172">
        <f>E6+E8+E13</f>
        <v>5209041</v>
      </c>
      <c r="F5" s="172">
        <f>F6+F8+F13</f>
        <v>4997011</v>
      </c>
      <c r="G5" s="503">
        <f>G6+G8+G13</f>
        <v>5140983.68</v>
      </c>
      <c r="H5" s="172">
        <f>H6+H8+H13</f>
        <v>5180053</v>
      </c>
      <c r="I5" s="356">
        <f>IF(H5=0,0,ROUND((G5/H5)*100,2))</f>
        <v>99.25</v>
      </c>
    </row>
    <row r="6" spans="2:9" s="45" customFormat="1" ht="15.75" thickBot="1">
      <c r="B6" s="103">
        <v>110</v>
      </c>
      <c r="C6" s="592" t="s">
        <v>77</v>
      </c>
      <c r="D6" s="593"/>
      <c r="E6" s="97">
        <f>E7</f>
        <v>4432132</v>
      </c>
      <c r="F6" s="97">
        <f>F7</f>
        <v>4175784</v>
      </c>
      <c r="G6" s="504">
        <f>G7</f>
        <v>4401458.42</v>
      </c>
      <c r="H6" s="97">
        <f>H7</f>
        <v>4377843</v>
      </c>
      <c r="I6" s="357">
        <f>IF(H6=0,0,ROUND((G6/H6)*100,2))</f>
        <v>100.54</v>
      </c>
    </row>
    <row r="7" spans="2:10" s="39" customFormat="1" ht="13.5" thickBot="1">
      <c r="B7" s="104"/>
      <c r="C7" s="38"/>
      <c r="D7" s="145" t="s">
        <v>110</v>
      </c>
      <c r="E7" s="334">
        <v>4432132</v>
      </c>
      <c r="F7" s="334">
        <v>4175784</v>
      </c>
      <c r="G7" s="502">
        <v>4401458.42</v>
      </c>
      <c r="H7" s="267">
        <v>4377843</v>
      </c>
      <c r="I7" s="358">
        <f aca="true" t="shared" si="0" ref="I7:I70">IF(H7=0,0,ROUND((G7/H7)*100,2))</f>
        <v>100.54</v>
      </c>
      <c r="J7" s="47"/>
    </row>
    <row r="8" spans="2:9" s="45" customFormat="1" ht="15.75" thickBot="1">
      <c r="B8" s="105">
        <v>120</v>
      </c>
      <c r="C8" s="574" t="s">
        <v>114</v>
      </c>
      <c r="D8" s="568"/>
      <c r="E8" s="58">
        <f>E9</f>
        <v>460690</v>
      </c>
      <c r="F8" s="58">
        <f>F9</f>
        <v>388905</v>
      </c>
      <c r="G8" s="475">
        <f>G9</f>
        <v>335641.24</v>
      </c>
      <c r="H8" s="58">
        <f>H9</f>
        <v>392770</v>
      </c>
      <c r="I8" s="359">
        <f t="shared" si="0"/>
        <v>85.45</v>
      </c>
    </row>
    <row r="9" spans="2:9" s="283" customFormat="1" ht="13.5" thickBot="1">
      <c r="B9" s="600"/>
      <c r="C9" s="38">
        <v>121</v>
      </c>
      <c r="D9" s="146" t="s">
        <v>78</v>
      </c>
      <c r="E9" s="125">
        <f>SUM(E10:E12)</f>
        <v>460690</v>
      </c>
      <c r="F9" s="125">
        <f>SUM(F10:F12)</f>
        <v>388905</v>
      </c>
      <c r="G9" s="505">
        <f>SUM(G10:G12)</f>
        <v>335641.24</v>
      </c>
      <c r="H9" s="125">
        <f>SUM(H10:H12)</f>
        <v>392770</v>
      </c>
      <c r="I9" s="360">
        <f t="shared" si="0"/>
        <v>85.45</v>
      </c>
    </row>
    <row r="10" spans="2:9" ht="12.75">
      <c r="B10" s="601"/>
      <c r="C10" s="577"/>
      <c r="D10" s="147" t="s">
        <v>111</v>
      </c>
      <c r="E10" s="156">
        <v>71840</v>
      </c>
      <c r="F10" s="156">
        <v>90890</v>
      </c>
      <c r="G10" s="501">
        <v>64647.11</v>
      </c>
      <c r="H10" s="153">
        <v>86400</v>
      </c>
      <c r="I10" s="192">
        <f t="shared" si="0"/>
        <v>74.82</v>
      </c>
    </row>
    <row r="11" spans="2:9" ht="12.75">
      <c r="B11" s="601"/>
      <c r="C11" s="572"/>
      <c r="D11" s="148" t="s">
        <v>112</v>
      </c>
      <c r="E11" s="160">
        <v>359760</v>
      </c>
      <c r="F11" s="160">
        <v>267120</v>
      </c>
      <c r="G11" s="560">
        <v>239509.09</v>
      </c>
      <c r="H11" s="174">
        <v>279570</v>
      </c>
      <c r="I11" s="194">
        <f t="shared" si="0"/>
        <v>85.67</v>
      </c>
    </row>
    <row r="12" spans="2:9" ht="13.5" thickBot="1">
      <c r="B12" s="602"/>
      <c r="C12" s="563"/>
      <c r="D12" s="149" t="s">
        <v>113</v>
      </c>
      <c r="E12" s="335">
        <v>29090</v>
      </c>
      <c r="F12" s="335">
        <v>30895</v>
      </c>
      <c r="G12" s="561">
        <v>31485.04</v>
      </c>
      <c r="H12" s="175">
        <v>26800</v>
      </c>
      <c r="I12" s="361">
        <f t="shared" si="0"/>
        <v>117.48</v>
      </c>
    </row>
    <row r="13" spans="2:9" s="45" customFormat="1" ht="15.75" thickBot="1">
      <c r="B13" s="106">
        <v>130</v>
      </c>
      <c r="C13" s="574" t="s">
        <v>115</v>
      </c>
      <c r="D13" s="568"/>
      <c r="E13" s="58">
        <f>E14</f>
        <v>316219</v>
      </c>
      <c r="F13" s="58">
        <f>F14</f>
        <v>432322</v>
      </c>
      <c r="G13" s="475">
        <f>G14</f>
        <v>403884.02</v>
      </c>
      <c r="H13" s="58">
        <f>H14</f>
        <v>409440</v>
      </c>
      <c r="I13" s="359">
        <f t="shared" si="0"/>
        <v>98.64</v>
      </c>
    </row>
    <row r="14" spans="2:9" s="283" customFormat="1" ht="13.5" thickBot="1">
      <c r="B14" s="588"/>
      <c r="C14" s="48">
        <v>133</v>
      </c>
      <c r="D14" s="150" t="s">
        <v>79</v>
      </c>
      <c r="E14" s="50">
        <f>SUM(E15:E21)</f>
        <v>316219</v>
      </c>
      <c r="F14" s="50">
        <f>SUM(F15:F21)</f>
        <v>432322</v>
      </c>
      <c r="G14" s="506">
        <f>SUM(G15:G21)</f>
        <v>403884.02</v>
      </c>
      <c r="H14" s="50">
        <f>SUM(H15:H21)</f>
        <v>409440</v>
      </c>
      <c r="I14" s="362">
        <f t="shared" si="0"/>
        <v>98.64</v>
      </c>
    </row>
    <row r="15" spans="2:9" ht="12.75">
      <c r="B15" s="589"/>
      <c r="C15" s="571"/>
      <c r="D15" s="51" t="s">
        <v>80</v>
      </c>
      <c r="E15" s="153">
        <v>7990</v>
      </c>
      <c r="F15" s="153">
        <v>9276</v>
      </c>
      <c r="G15" s="507">
        <v>9178.11</v>
      </c>
      <c r="H15" s="153">
        <v>8200</v>
      </c>
      <c r="I15" s="192">
        <f t="shared" si="0"/>
        <v>111.93</v>
      </c>
    </row>
    <row r="16" spans="2:9" ht="12.75">
      <c r="B16" s="589"/>
      <c r="C16" s="566"/>
      <c r="D16" s="52" t="s">
        <v>81</v>
      </c>
      <c r="E16" s="174">
        <v>732</v>
      </c>
      <c r="F16" s="174">
        <v>749</v>
      </c>
      <c r="G16" s="508">
        <v>300</v>
      </c>
      <c r="H16" s="174">
        <v>600</v>
      </c>
      <c r="I16" s="194">
        <f t="shared" si="0"/>
        <v>50</v>
      </c>
    </row>
    <row r="17" spans="2:9" ht="12.75">
      <c r="B17" s="589"/>
      <c r="C17" s="566"/>
      <c r="D17" s="52" t="s">
        <v>82</v>
      </c>
      <c r="E17" s="174">
        <v>750</v>
      </c>
      <c r="F17" s="174">
        <v>725</v>
      </c>
      <c r="G17" s="508">
        <v>650</v>
      </c>
      <c r="H17" s="174">
        <v>700</v>
      </c>
      <c r="I17" s="194">
        <f t="shared" si="0"/>
        <v>92.86</v>
      </c>
    </row>
    <row r="18" spans="2:9" ht="12.75">
      <c r="B18" s="589"/>
      <c r="C18" s="566"/>
      <c r="D18" s="52" t="s">
        <v>83</v>
      </c>
      <c r="E18" s="174">
        <v>14430</v>
      </c>
      <c r="F18" s="174">
        <v>12793</v>
      </c>
      <c r="G18" s="508">
        <v>13503.5</v>
      </c>
      <c r="H18" s="174">
        <v>11500</v>
      </c>
      <c r="I18" s="194">
        <f t="shared" si="0"/>
        <v>117.42</v>
      </c>
    </row>
    <row r="19" spans="2:9" ht="12.75">
      <c r="B19" s="589"/>
      <c r="C19" s="566"/>
      <c r="D19" s="52" t="s">
        <v>216</v>
      </c>
      <c r="E19" s="174">
        <v>31474</v>
      </c>
      <c r="F19" s="174">
        <v>37978</v>
      </c>
      <c r="G19" s="508">
        <v>32751.27</v>
      </c>
      <c r="H19" s="174">
        <v>41540</v>
      </c>
      <c r="I19" s="194">
        <f t="shared" si="0"/>
        <v>78.84</v>
      </c>
    </row>
    <row r="20" spans="2:11" ht="12.75">
      <c r="B20" s="589"/>
      <c r="C20" s="566"/>
      <c r="D20" s="52" t="s">
        <v>84</v>
      </c>
      <c r="E20" s="174">
        <v>174176</v>
      </c>
      <c r="F20" s="174">
        <f>265321+3376</f>
        <v>268697</v>
      </c>
      <c r="G20" s="508">
        <f>239753.85+3252.41</f>
        <v>243006.26</v>
      </c>
      <c r="H20" s="174">
        <v>239000</v>
      </c>
      <c r="I20" s="194">
        <f t="shared" si="0"/>
        <v>101.68</v>
      </c>
      <c r="K20" s="524"/>
    </row>
    <row r="21" spans="2:9" ht="13.5" thickBot="1">
      <c r="B21" s="605"/>
      <c r="C21" s="564"/>
      <c r="D21" s="53" t="s">
        <v>85</v>
      </c>
      <c r="E21" s="154">
        <v>86667</v>
      </c>
      <c r="F21" s="154">
        <v>102104</v>
      </c>
      <c r="G21" s="509">
        <v>104494.88</v>
      </c>
      <c r="H21" s="154">
        <v>107900</v>
      </c>
      <c r="I21" s="363">
        <f t="shared" si="0"/>
        <v>96.84</v>
      </c>
    </row>
    <row r="22" spans="2:11" s="46" customFormat="1" ht="16.5" thickBot="1">
      <c r="B22" s="102">
        <v>200</v>
      </c>
      <c r="C22" s="565" t="s">
        <v>116</v>
      </c>
      <c r="D22" s="599"/>
      <c r="E22" s="98">
        <f>E23+E34+E52+E54</f>
        <v>1090799</v>
      </c>
      <c r="F22" s="98">
        <f>F23+F34+F52+F54</f>
        <v>1258962</v>
      </c>
      <c r="G22" s="510">
        <f>G23+G34+G52+G54</f>
        <v>1049268.01</v>
      </c>
      <c r="H22" s="98">
        <f>H23+H34+H52+H54</f>
        <v>845712</v>
      </c>
      <c r="I22" s="364">
        <f t="shared" si="0"/>
        <v>124.07</v>
      </c>
      <c r="J22" s="439"/>
      <c r="K22" s="530"/>
    </row>
    <row r="23" spans="2:9" s="36" customFormat="1" ht="15.75" thickBot="1">
      <c r="B23" s="107">
        <v>210</v>
      </c>
      <c r="C23" s="592" t="s">
        <v>117</v>
      </c>
      <c r="D23" s="606"/>
      <c r="E23" s="99">
        <f>E24+E28</f>
        <v>560834</v>
      </c>
      <c r="F23" s="99">
        <f>F24+F28</f>
        <v>650004</v>
      </c>
      <c r="G23" s="511">
        <f>G24+G28</f>
        <v>379467.55</v>
      </c>
      <c r="H23" s="99">
        <f>H24+H28</f>
        <v>435774</v>
      </c>
      <c r="I23" s="365">
        <f t="shared" si="0"/>
        <v>87.08</v>
      </c>
    </row>
    <row r="24" spans="2:9" s="39" customFormat="1" ht="13.5" thickBot="1">
      <c r="B24" s="588" t="s">
        <v>86</v>
      </c>
      <c r="C24" s="38">
        <v>211</v>
      </c>
      <c r="D24" s="37" t="s">
        <v>117</v>
      </c>
      <c r="E24" s="50">
        <f>SUM(E25:E27)</f>
        <v>47000</v>
      </c>
      <c r="F24" s="50">
        <f>SUM(F25:F27)</f>
        <v>58181</v>
      </c>
      <c r="G24" s="506">
        <f>SUM(G25:G27)</f>
        <v>20000</v>
      </c>
      <c r="H24" s="50">
        <f>SUM(H25:H27)</f>
        <v>29084</v>
      </c>
      <c r="I24" s="362">
        <f t="shared" si="0"/>
        <v>68.77</v>
      </c>
    </row>
    <row r="25" spans="2:9" ht="12.75" customHeight="1" hidden="1">
      <c r="B25" s="589"/>
      <c r="C25" s="577"/>
      <c r="D25" s="40" t="s">
        <v>87</v>
      </c>
      <c r="E25" s="153"/>
      <c r="F25" s="153"/>
      <c r="G25" s="507"/>
      <c r="H25" s="153"/>
      <c r="I25" s="192">
        <f t="shared" si="0"/>
        <v>0</v>
      </c>
    </row>
    <row r="26" spans="2:9" ht="12.75" hidden="1">
      <c r="B26" s="589"/>
      <c r="C26" s="572"/>
      <c r="D26" s="42" t="s">
        <v>225</v>
      </c>
      <c r="E26" s="174"/>
      <c r="F26" s="174"/>
      <c r="G26" s="508"/>
      <c r="H26" s="174"/>
      <c r="I26" s="194">
        <f t="shared" si="0"/>
        <v>0</v>
      </c>
    </row>
    <row r="27" spans="2:9" ht="13.5" thickBot="1">
      <c r="B27" s="589"/>
      <c r="C27" s="563"/>
      <c r="D27" s="44" t="s">
        <v>88</v>
      </c>
      <c r="E27" s="175">
        <v>47000</v>
      </c>
      <c r="F27" s="175">
        <v>58181</v>
      </c>
      <c r="G27" s="512">
        <v>20000</v>
      </c>
      <c r="H27" s="175">
        <v>29084</v>
      </c>
      <c r="I27" s="361">
        <f t="shared" si="0"/>
        <v>68.77</v>
      </c>
    </row>
    <row r="28" spans="2:9" ht="13.5" thickBot="1">
      <c r="B28" s="589"/>
      <c r="C28" s="1">
        <v>212</v>
      </c>
      <c r="D28" s="35" t="s">
        <v>89</v>
      </c>
      <c r="E28" s="2">
        <f>SUM(E29:E33)</f>
        <v>513834</v>
      </c>
      <c r="F28" s="2">
        <f>SUM(F29:F33)</f>
        <v>591823</v>
      </c>
      <c r="G28" s="513">
        <f>SUM(G29:G33)</f>
        <v>359467.55</v>
      </c>
      <c r="H28" s="2">
        <f>SUM(H29:H33)</f>
        <v>406690</v>
      </c>
      <c r="I28" s="190">
        <f t="shared" si="0"/>
        <v>88.39</v>
      </c>
    </row>
    <row r="29" spans="2:9" ht="12.75">
      <c r="B29" s="589"/>
      <c r="C29" s="571"/>
      <c r="D29" s="40" t="s">
        <v>90</v>
      </c>
      <c r="E29" s="153">
        <v>324320</v>
      </c>
      <c r="F29" s="184">
        <v>401050</v>
      </c>
      <c r="G29" s="507">
        <f>135635.87+17.28+19.91</f>
        <v>135673.06</v>
      </c>
      <c r="H29" s="153">
        <v>127000</v>
      </c>
      <c r="I29" s="192">
        <f t="shared" si="0"/>
        <v>106.83</v>
      </c>
    </row>
    <row r="30" spans="2:9" ht="12.75">
      <c r="B30" s="589"/>
      <c r="C30" s="566"/>
      <c r="D30" s="42" t="s">
        <v>91</v>
      </c>
      <c r="E30" s="174">
        <v>5150</v>
      </c>
      <c r="F30" s="42">
        <v>5043</v>
      </c>
      <c r="G30" s="508">
        <v>6242.35</v>
      </c>
      <c r="H30" s="174">
        <v>4300</v>
      </c>
      <c r="I30" s="194">
        <f t="shared" si="0"/>
        <v>145.17</v>
      </c>
    </row>
    <row r="31" spans="2:9" ht="12.75">
      <c r="B31" s="589"/>
      <c r="C31" s="566"/>
      <c r="D31" s="132" t="s">
        <v>330</v>
      </c>
      <c r="E31" s="175"/>
      <c r="F31" s="132">
        <v>0</v>
      </c>
      <c r="G31" s="512">
        <v>41494.18</v>
      </c>
      <c r="H31" s="175">
        <v>32030</v>
      </c>
      <c r="I31" s="361">
        <f t="shared" si="0"/>
        <v>129.55</v>
      </c>
    </row>
    <row r="32" spans="2:9" ht="12.75">
      <c r="B32" s="589"/>
      <c r="C32" s="566"/>
      <c r="D32" s="132" t="s">
        <v>218</v>
      </c>
      <c r="E32" s="175">
        <v>83511</v>
      </c>
      <c r="F32" s="132">
        <f>77287+178+128</f>
        <v>77593</v>
      </c>
      <c r="G32" s="512">
        <f>80594.28+60.42</f>
        <v>80654.7</v>
      </c>
      <c r="H32" s="175">
        <v>149680</v>
      </c>
      <c r="I32" s="361">
        <f t="shared" si="0"/>
        <v>53.88</v>
      </c>
    </row>
    <row r="33" spans="2:9" ht="13.5" thickBot="1">
      <c r="B33" s="605"/>
      <c r="C33" s="564"/>
      <c r="D33" s="44" t="s">
        <v>92</v>
      </c>
      <c r="E33" s="175">
        <v>100853</v>
      </c>
      <c r="F33" s="132">
        <v>108137</v>
      </c>
      <c r="G33" s="512">
        <v>95403.26</v>
      </c>
      <c r="H33" s="175">
        <v>93680</v>
      </c>
      <c r="I33" s="361">
        <f t="shared" si="0"/>
        <v>101.84</v>
      </c>
    </row>
    <row r="34" spans="2:9" s="36" customFormat="1" ht="15.75" thickBot="1">
      <c r="B34" s="106">
        <v>220</v>
      </c>
      <c r="C34" s="592" t="s">
        <v>93</v>
      </c>
      <c r="D34" s="606"/>
      <c r="E34" s="33">
        <f>E35+E39+E50</f>
        <v>471458</v>
      </c>
      <c r="F34" s="33">
        <f>F35+F39+F50</f>
        <v>514547</v>
      </c>
      <c r="G34" s="389">
        <f>G35+G39+G50</f>
        <v>595361.4199999999</v>
      </c>
      <c r="H34" s="33">
        <f>H35+H39+H50</f>
        <v>380738</v>
      </c>
      <c r="I34" s="366">
        <f t="shared" si="0"/>
        <v>156.37</v>
      </c>
    </row>
    <row r="35" spans="2:9" s="39" customFormat="1" ht="13.5" customHeight="1" thickBot="1">
      <c r="B35" s="588"/>
      <c r="C35" s="1">
        <v>221</v>
      </c>
      <c r="D35" s="35" t="s">
        <v>118</v>
      </c>
      <c r="E35" s="2">
        <f>SUM(E36:E38)</f>
        <v>69092</v>
      </c>
      <c r="F35" s="2">
        <f>SUM(F36:F38)</f>
        <v>77127</v>
      </c>
      <c r="G35" s="513">
        <f>SUM(G36:G38)</f>
        <v>85540.68</v>
      </c>
      <c r="H35" s="2">
        <f>SUM(H36:H38)</f>
        <v>53441</v>
      </c>
      <c r="I35" s="190">
        <f t="shared" si="0"/>
        <v>160.07</v>
      </c>
    </row>
    <row r="36" spans="2:9" ht="12.75" customHeight="1">
      <c r="B36" s="603"/>
      <c r="C36" s="571"/>
      <c r="D36" s="51" t="s">
        <v>94</v>
      </c>
      <c r="E36" s="153">
        <v>48641</v>
      </c>
      <c r="F36" s="184">
        <v>58713</v>
      </c>
      <c r="G36" s="507">
        <f>66724.67-768.56</f>
        <v>65956.11</v>
      </c>
      <c r="H36" s="153">
        <v>48641</v>
      </c>
      <c r="I36" s="192">
        <f t="shared" si="0"/>
        <v>135.6</v>
      </c>
    </row>
    <row r="37" spans="2:9" ht="12.75" customHeight="1">
      <c r="B37" s="603"/>
      <c r="C37" s="566"/>
      <c r="D37" s="184" t="s">
        <v>329</v>
      </c>
      <c r="E37" s="155"/>
      <c r="F37" s="144"/>
      <c r="G37" s="514">
        <v>768.56</v>
      </c>
      <c r="H37" s="155">
        <v>1500</v>
      </c>
      <c r="I37" s="193">
        <f t="shared" si="0"/>
        <v>51.24</v>
      </c>
    </row>
    <row r="38" spans="2:9" ht="13.5" customHeight="1" thickBot="1">
      <c r="B38" s="603"/>
      <c r="C38" s="564"/>
      <c r="D38" s="44" t="s">
        <v>344</v>
      </c>
      <c r="E38" s="175">
        <v>20451</v>
      </c>
      <c r="F38" s="132">
        <v>18414</v>
      </c>
      <c r="G38" s="512">
        <v>18816.01</v>
      </c>
      <c r="H38" s="175">
        <v>3300</v>
      </c>
      <c r="I38" s="361">
        <f t="shared" si="0"/>
        <v>570.18</v>
      </c>
    </row>
    <row r="39" spans="2:9" ht="13.5" customHeight="1" thickBot="1">
      <c r="B39" s="603"/>
      <c r="C39" s="1">
        <v>223</v>
      </c>
      <c r="D39" s="1" t="s">
        <v>95</v>
      </c>
      <c r="E39" s="2">
        <f>SUM(E40:E49)</f>
        <v>400298</v>
      </c>
      <c r="F39" s="2">
        <f>SUM(F40:F49)</f>
        <v>434944</v>
      </c>
      <c r="G39" s="513">
        <f>SUM(G40:G49)</f>
        <v>507780.69999999995</v>
      </c>
      <c r="H39" s="2">
        <f>SUM(H40:H49)</f>
        <v>325497</v>
      </c>
      <c r="I39" s="190">
        <f t="shared" si="0"/>
        <v>156</v>
      </c>
    </row>
    <row r="40" spans="2:9" ht="12.75" customHeight="1">
      <c r="B40" s="603"/>
      <c r="C40" s="571"/>
      <c r="D40" s="40" t="s">
        <v>96</v>
      </c>
      <c r="E40" s="153">
        <v>19573</v>
      </c>
      <c r="F40" s="184">
        <v>20641</v>
      </c>
      <c r="G40" s="507">
        <v>20552.5</v>
      </c>
      <c r="H40" s="153">
        <v>15000</v>
      </c>
      <c r="I40" s="192">
        <f t="shared" si="0"/>
        <v>137.02</v>
      </c>
    </row>
    <row r="41" spans="2:9" ht="12.75" customHeight="1">
      <c r="B41" s="603"/>
      <c r="C41" s="566"/>
      <c r="D41" s="184" t="s">
        <v>289</v>
      </c>
      <c r="E41" s="153">
        <v>3900</v>
      </c>
      <c r="F41" s="184">
        <v>5000</v>
      </c>
      <c r="G41" s="507">
        <v>4100</v>
      </c>
      <c r="H41" s="153">
        <v>0</v>
      </c>
      <c r="I41" s="192">
        <f t="shared" si="0"/>
        <v>0</v>
      </c>
    </row>
    <row r="42" spans="2:9" ht="12.75" customHeight="1">
      <c r="B42" s="603"/>
      <c r="C42" s="566"/>
      <c r="D42" s="184" t="s">
        <v>365</v>
      </c>
      <c r="E42" s="153"/>
      <c r="F42" s="184"/>
      <c r="G42" s="507"/>
      <c r="H42" s="153">
        <v>0</v>
      </c>
      <c r="I42" s="192">
        <f t="shared" si="0"/>
        <v>0</v>
      </c>
    </row>
    <row r="43" spans="2:9" ht="12.75" customHeight="1">
      <c r="B43" s="603"/>
      <c r="C43" s="566"/>
      <c r="D43" s="42" t="s">
        <v>97</v>
      </c>
      <c r="E43" s="174">
        <v>27058</v>
      </c>
      <c r="F43" s="42">
        <f>18432+1749</f>
        <v>20181</v>
      </c>
      <c r="G43" s="508">
        <v>31759</v>
      </c>
      <c r="H43" s="174">
        <v>19000</v>
      </c>
      <c r="I43" s="194">
        <f t="shared" si="0"/>
        <v>167.15</v>
      </c>
    </row>
    <row r="44" spans="2:9" ht="12.75" customHeight="1">
      <c r="B44" s="603"/>
      <c r="C44" s="566"/>
      <c r="D44" s="42" t="s">
        <v>98</v>
      </c>
      <c r="E44" s="174">
        <v>29035</v>
      </c>
      <c r="F44" s="42">
        <v>28418</v>
      </c>
      <c r="G44" s="508">
        <v>20267.02</v>
      </c>
      <c r="H44" s="174">
        <v>20000</v>
      </c>
      <c r="I44" s="194">
        <f t="shared" si="0"/>
        <v>101.34</v>
      </c>
    </row>
    <row r="45" spans="2:9" ht="12.75" customHeight="1">
      <c r="B45" s="603"/>
      <c r="C45" s="566"/>
      <c r="D45" s="42" t="s">
        <v>99</v>
      </c>
      <c r="E45" s="174">
        <v>15462</v>
      </c>
      <c r="F45" s="42">
        <v>15205</v>
      </c>
      <c r="G45" s="508">
        <f>17771.7+56</f>
        <v>17827.7</v>
      </c>
      <c r="H45" s="174">
        <v>16930</v>
      </c>
      <c r="I45" s="194">
        <f t="shared" si="0"/>
        <v>105.3</v>
      </c>
    </row>
    <row r="46" spans="2:9" ht="12.75" customHeight="1">
      <c r="B46" s="603"/>
      <c r="C46" s="566"/>
      <c r="D46" s="132" t="s">
        <v>240</v>
      </c>
      <c r="E46" s="175">
        <v>127040</v>
      </c>
      <c r="F46" s="132">
        <f>149434+40</f>
        <v>149474</v>
      </c>
      <c r="G46" s="512">
        <v>154903.56</v>
      </c>
      <c r="H46" s="175">
        <v>98000</v>
      </c>
      <c r="I46" s="361">
        <f t="shared" si="0"/>
        <v>158.06</v>
      </c>
    </row>
    <row r="47" spans="2:9" ht="12.75" customHeight="1">
      <c r="B47" s="603"/>
      <c r="C47" s="566"/>
      <c r="D47" s="132" t="s">
        <v>241</v>
      </c>
      <c r="E47" s="175">
        <v>44729</v>
      </c>
      <c r="F47" s="132">
        <v>51770</v>
      </c>
      <c r="G47" s="512">
        <v>49600.39</v>
      </c>
      <c r="H47" s="175">
        <v>84000</v>
      </c>
      <c r="I47" s="361">
        <f t="shared" si="0"/>
        <v>59.05</v>
      </c>
    </row>
    <row r="48" spans="2:9" ht="12.75" customHeight="1">
      <c r="B48" s="603"/>
      <c r="C48" s="566"/>
      <c r="D48" s="132" t="s">
        <v>367</v>
      </c>
      <c r="E48" s="175"/>
      <c r="F48" s="132">
        <f>3286+114</f>
        <v>3400</v>
      </c>
      <c r="G48" s="512">
        <f>517.26+243.5</f>
        <v>760.76</v>
      </c>
      <c r="H48" s="175"/>
      <c r="I48" s="361">
        <f t="shared" si="0"/>
        <v>0</v>
      </c>
    </row>
    <row r="49" spans="2:9" ht="13.5" customHeight="1" thickBot="1">
      <c r="B49" s="603"/>
      <c r="C49" s="566"/>
      <c r="D49" s="132" t="s">
        <v>100</v>
      </c>
      <c r="E49" s="175">
        <v>133501</v>
      </c>
      <c r="F49" s="132">
        <f>60+137299+3496</f>
        <v>140855</v>
      </c>
      <c r="G49" s="512">
        <v>208009.77</v>
      </c>
      <c r="H49" s="175">
        <v>72567</v>
      </c>
      <c r="I49" s="361">
        <f t="shared" si="0"/>
        <v>286.65</v>
      </c>
    </row>
    <row r="50" spans="2:9" ht="13.5" customHeight="1" thickBot="1">
      <c r="B50" s="603"/>
      <c r="C50" s="1">
        <v>229</v>
      </c>
      <c r="D50" s="1" t="s">
        <v>101</v>
      </c>
      <c r="E50" s="2">
        <f>E51</f>
        <v>2068</v>
      </c>
      <c r="F50" s="2">
        <f>F51</f>
        <v>2476</v>
      </c>
      <c r="G50" s="513">
        <f>G51</f>
        <v>2040.04</v>
      </c>
      <c r="H50" s="2">
        <f>H51</f>
        <v>1800</v>
      </c>
      <c r="I50" s="190">
        <f t="shared" si="0"/>
        <v>113.34</v>
      </c>
    </row>
    <row r="51" spans="2:9" ht="13.5" customHeight="1" thickBot="1">
      <c r="B51" s="604"/>
      <c r="C51" s="262"/>
      <c r="D51" s="262" t="s">
        <v>102</v>
      </c>
      <c r="E51" s="224">
        <v>2068</v>
      </c>
      <c r="F51" s="299">
        <v>2476</v>
      </c>
      <c r="G51" s="515">
        <v>2040.04</v>
      </c>
      <c r="H51" s="224">
        <v>1800</v>
      </c>
      <c r="I51" s="367">
        <f t="shared" si="0"/>
        <v>113.34</v>
      </c>
    </row>
    <row r="52" spans="2:9" s="36" customFormat="1" ht="16.5" customHeight="1" thickBot="1">
      <c r="B52" s="105">
        <v>240</v>
      </c>
      <c r="C52" s="569" t="s">
        <v>103</v>
      </c>
      <c r="D52" s="570"/>
      <c r="E52" s="63">
        <f>SUM(E53:E53)</f>
        <v>3352</v>
      </c>
      <c r="F52" s="63">
        <f>SUM(F53:F53)</f>
        <v>1988</v>
      </c>
      <c r="G52" s="483">
        <f>SUM(G53:G53)</f>
        <v>1226.92</v>
      </c>
      <c r="H52" s="63">
        <f>SUM(H53:H53)</f>
        <v>1000</v>
      </c>
      <c r="I52" s="368">
        <f t="shared" si="0"/>
        <v>122.69</v>
      </c>
    </row>
    <row r="53" spans="2:9" ht="13.5" customHeight="1" thickBot="1">
      <c r="B53" s="130"/>
      <c r="C53" s="131"/>
      <c r="D53" s="123" t="s">
        <v>104</v>
      </c>
      <c r="E53" s="269">
        <v>3352</v>
      </c>
      <c r="F53" s="300">
        <v>1988</v>
      </c>
      <c r="G53" s="516">
        <v>1226.92</v>
      </c>
      <c r="H53" s="269">
        <v>1000</v>
      </c>
      <c r="I53" s="369">
        <f t="shared" si="0"/>
        <v>122.69</v>
      </c>
    </row>
    <row r="54" spans="2:9" s="45" customFormat="1" ht="15.75" thickBot="1">
      <c r="B54" s="105">
        <v>290</v>
      </c>
      <c r="C54" s="574" t="s">
        <v>105</v>
      </c>
      <c r="D54" s="568"/>
      <c r="E54" s="100">
        <f>E55</f>
        <v>55155</v>
      </c>
      <c r="F54" s="100">
        <f>F55</f>
        <v>92423</v>
      </c>
      <c r="G54" s="517">
        <f>G55</f>
        <v>73212.12000000001</v>
      </c>
      <c r="H54" s="100">
        <f>H55</f>
        <v>28200</v>
      </c>
      <c r="I54" s="370">
        <f t="shared" si="0"/>
        <v>259.62</v>
      </c>
    </row>
    <row r="55" spans="2:9" ht="13.5" thickBot="1">
      <c r="B55" s="588"/>
      <c r="C55" s="35">
        <v>292</v>
      </c>
      <c r="D55" s="35" t="s">
        <v>105</v>
      </c>
      <c r="E55" s="2">
        <f>SUM(E56:E59)</f>
        <v>55155</v>
      </c>
      <c r="F55" s="2">
        <f>SUM(F56:F59)</f>
        <v>92423</v>
      </c>
      <c r="G55" s="513">
        <f>SUM(G56:G59)</f>
        <v>73212.12000000001</v>
      </c>
      <c r="H55" s="2">
        <f>SUM(H56:H59)</f>
        <v>28200</v>
      </c>
      <c r="I55" s="190">
        <f t="shared" si="0"/>
        <v>259.62</v>
      </c>
    </row>
    <row r="56" spans="2:11" ht="12.75">
      <c r="B56" s="589"/>
      <c r="C56" s="577"/>
      <c r="D56" s="54" t="s">
        <v>231</v>
      </c>
      <c r="E56" s="156">
        <v>19300</v>
      </c>
      <c r="F56" s="56">
        <v>29700</v>
      </c>
      <c r="G56" s="501">
        <v>27700</v>
      </c>
      <c r="H56" s="153">
        <v>19000</v>
      </c>
      <c r="I56" s="192">
        <f t="shared" si="0"/>
        <v>145.79</v>
      </c>
      <c r="K56" s="524"/>
    </row>
    <row r="57" spans="2:9" ht="12.75">
      <c r="B57" s="589"/>
      <c r="C57" s="572"/>
      <c r="D57" s="56" t="s">
        <v>326</v>
      </c>
      <c r="E57" s="156">
        <v>14000</v>
      </c>
      <c r="F57" s="56">
        <v>2888</v>
      </c>
      <c r="G57" s="501">
        <v>313.32</v>
      </c>
      <c r="H57" s="153"/>
      <c r="I57" s="192">
        <f t="shared" si="0"/>
        <v>0</v>
      </c>
    </row>
    <row r="58" spans="2:9" ht="12.75">
      <c r="B58" s="589"/>
      <c r="C58" s="572"/>
      <c r="D58" s="56" t="s">
        <v>105</v>
      </c>
      <c r="E58" s="156">
        <v>19147</v>
      </c>
      <c r="F58" s="56">
        <f>16091+34106+2444+185+641+2733+114-32+43+286+668</f>
        <v>57279</v>
      </c>
      <c r="G58" s="501">
        <v>42730.56</v>
      </c>
      <c r="H58" s="153">
        <v>7000</v>
      </c>
      <c r="I58" s="192">
        <f t="shared" si="0"/>
        <v>610.44</v>
      </c>
    </row>
    <row r="59" spans="2:9" ht="13.5" thickBot="1">
      <c r="B59" s="590"/>
      <c r="C59" s="573"/>
      <c r="D59" s="229" t="s">
        <v>106</v>
      </c>
      <c r="E59" s="270">
        <v>2708</v>
      </c>
      <c r="F59" s="229">
        <v>2556</v>
      </c>
      <c r="G59" s="518">
        <v>2468.24</v>
      </c>
      <c r="H59" s="270">
        <v>2200</v>
      </c>
      <c r="I59" s="371">
        <f t="shared" si="0"/>
        <v>112.19</v>
      </c>
    </row>
    <row r="60" spans="2:10" s="55" customFormat="1" ht="17.25" thickBot="1" thickTop="1">
      <c r="B60" s="230">
        <v>300</v>
      </c>
      <c r="C60" s="575" t="s">
        <v>119</v>
      </c>
      <c r="D60" s="576"/>
      <c r="E60" s="231">
        <f>E61+E102</f>
        <v>2901991</v>
      </c>
      <c r="F60" s="231">
        <f>F61+F102</f>
        <v>3466649</v>
      </c>
      <c r="G60" s="519">
        <f>G61+G102</f>
        <v>3450076.5500000003</v>
      </c>
      <c r="H60" s="231">
        <f>H61+H102</f>
        <v>3223016</v>
      </c>
      <c r="I60" s="372">
        <f t="shared" si="0"/>
        <v>107.04</v>
      </c>
      <c r="J60" s="440"/>
    </row>
    <row r="61" spans="2:9" ht="15.75" thickBot="1">
      <c r="B61" s="106">
        <v>310</v>
      </c>
      <c r="C61" s="592" t="s">
        <v>120</v>
      </c>
      <c r="D61" s="593"/>
      <c r="E61" s="33">
        <f>E62+E64</f>
        <v>2862933</v>
      </c>
      <c r="F61" s="33">
        <f>F62+F64</f>
        <v>3457133</v>
      </c>
      <c r="G61" s="389">
        <f>G62+G64</f>
        <v>3450076.5500000003</v>
      </c>
      <c r="H61" s="33">
        <f>H62+H64</f>
        <v>3223016</v>
      </c>
      <c r="I61" s="366">
        <f t="shared" si="0"/>
        <v>107.04</v>
      </c>
    </row>
    <row r="62" spans="2:9" ht="13.5" thickBot="1">
      <c r="B62" s="588"/>
      <c r="C62" s="4">
        <v>311</v>
      </c>
      <c r="D62" s="1" t="s">
        <v>121</v>
      </c>
      <c r="E62" s="268">
        <f>E63</f>
        <v>19287</v>
      </c>
      <c r="F62" s="301">
        <f>F63</f>
        <v>18260</v>
      </c>
      <c r="G62" s="520">
        <f>G63</f>
        <v>700</v>
      </c>
      <c r="H62" s="268">
        <v>0</v>
      </c>
      <c r="I62" s="360">
        <f t="shared" si="0"/>
        <v>0</v>
      </c>
    </row>
    <row r="63" spans="2:9" ht="13.5" thickBot="1">
      <c r="B63" s="589"/>
      <c r="C63" s="74"/>
      <c r="D63" s="51" t="s">
        <v>242</v>
      </c>
      <c r="E63" s="153">
        <v>19287</v>
      </c>
      <c r="F63" s="184">
        <v>18260</v>
      </c>
      <c r="G63" s="507">
        <v>700</v>
      </c>
      <c r="H63" s="153">
        <v>0</v>
      </c>
      <c r="I63" s="192">
        <f t="shared" si="0"/>
        <v>0</v>
      </c>
    </row>
    <row r="64" spans="2:11" ht="13.5" thickBot="1">
      <c r="B64" s="589"/>
      <c r="C64" s="38">
        <v>312</v>
      </c>
      <c r="D64" s="38" t="s">
        <v>122</v>
      </c>
      <c r="E64" s="50">
        <f>SUM(E65:E101)</f>
        <v>2843646</v>
      </c>
      <c r="F64" s="50">
        <f>SUM(F65:F101)</f>
        <v>3438873</v>
      </c>
      <c r="G64" s="506">
        <f>SUM(G65:G101)</f>
        <v>3449376.5500000003</v>
      </c>
      <c r="H64" s="50">
        <f>SUM(H65:H101)</f>
        <v>3223016</v>
      </c>
      <c r="I64" s="362">
        <f t="shared" si="0"/>
        <v>107.02</v>
      </c>
      <c r="K64" s="524"/>
    </row>
    <row r="65" spans="2:12" ht="12.75">
      <c r="B65" s="589"/>
      <c r="C65" s="597"/>
      <c r="D65" s="51" t="s">
        <v>172</v>
      </c>
      <c r="E65" s="41">
        <v>17245</v>
      </c>
      <c r="F65" s="51">
        <v>10901</v>
      </c>
      <c r="G65" s="521">
        <v>11158.85</v>
      </c>
      <c r="H65" s="41">
        <v>17244</v>
      </c>
      <c r="I65" s="373">
        <f t="shared" si="0"/>
        <v>64.71</v>
      </c>
      <c r="L65" s="524"/>
    </row>
    <row r="66" spans="2:9" ht="12.75">
      <c r="B66" s="589"/>
      <c r="C66" s="598"/>
      <c r="D66" s="52" t="s">
        <v>173</v>
      </c>
      <c r="E66" s="43">
        <v>2219230</v>
      </c>
      <c r="F66" s="52">
        <v>2305975</v>
      </c>
      <c r="G66" s="522">
        <v>2374727</v>
      </c>
      <c r="H66" s="43">
        <v>2374727</v>
      </c>
      <c r="I66" s="194">
        <f t="shared" si="0"/>
        <v>100</v>
      </c>
    </row>
    <row r="67" spans="2:9" ht="12.75">
      <c r="B67" s="589"/>
      <c r="C67" s="598"/>
      <c r="D67" s="52" t="s">
        <v>174</v>
      </c>
      <c r="E67" s="43">
        <v>18084</v>
      </c>
      <c r="F67" s="52">
        <v>17994</v>
      </c>
      <c r="G67" s="522">
        <v>18008.52</v>
      </c>
      <c r="H67" s="43">
        <v>18083</v>
      </c>
      <c r="I67" s="194">
        <f t="shared" si="0"/>
        <v>99.59</v>
      </c>
    </row>
    <row r="68" spans="2:9" ht="12.75">
      <c r="B68" s="589"/>
      <c r="C68" s="598"/>
      <c r="D68" s="52" t="s">
        <v>175</v>
      </c>
      <c r="E68" s="43">
        <v>25124</v>
      </c>
      <c r="F68" s="52">
        <v>25564</v>
      </c>
      <c r="G68" s="522">
        <v>26022</v>
      </c>
      <c r="H68" s="43">
        <v>24000</v>
      </c>
      <c r="I68" s="194">
        <f t="shared" si="0"/>
        <v>108.43</v>
      </c>
    </row>
    <row r="69" spans="2:9" ht="12.75">
      <c r="B69" s="589"/>
      <c r="C69" s="598"/>
      <c r="D69" s="52" t="s">
        <v>176</v>
      </c>
      <c r="E69" s="43">
        <v>7075</v>
      </c>
      <c r="F69" s="52">
        <v>7128</v>
      </c>
      <c r="G69" s="522">
        <v>7141.61</v>
      </c>
      <c r="H69" s="43">
        <v>7075</v>
      </c>
      <c r="I69" s="194">
        <f t="shared" si="0"/>
        <v>100.94</v>
      </c>
    </row>
    <row r="70" spans="2:9" ht="12.75">
      <c r="B70" s="589"/>
      <c r="C70" s="598"/>
      <c r="D70" s="52" t="s">
        <v>177</v>
      </c>
      <c r="E70" s="43">
        <v>10551</v>
      </c>
      <c r="F70" s="52">
        <v>6336</v>
      </c>
      <c r="G70" s="522">
        <v>5427.66</v>
      </c>
      <c r="H70" s="43">
        <v>7000</v>
      </c>
      <c r="I70" s="194">
        <f t="shared" si="0"/>
        <v>77.54</v>
      </c>
    </row>
    <row r="71" spans="2:9" ht="12.75">
      <c r="B71" s="589"/>
      <c r="C71" s="598"/>
      <c r="D71" s="52" t="s">
        <v>178</v>
      </c>
      <c r="E71" s="43">
        <v>97555</v>
      </c>
      <c r="F71" s="52">
        <v>85709</v>
      </c>
      <c r="G71" s="522">
        <v>73418.71</v>
      </c>
      <c r="H71" s="43">
        <v>55224</v>
      </c>
      <c r="I71" s="194">
        <f aca="true" t="shared" si="1" ref="I71:I105">IF(H71=0,0,ROUND((G71/H71)*100,2))</f>
        <v>132.95</v>
      </c>
    </row>
    <row r="72" spans="2:9" s="39" customFormat="1" ht="12.75">
      <c r="B72" s="589"/>
      <c r="C72" s="598"/>
      <c r="D72" s="52" t="s">
        <v>179</v>
      </c>
      <c r="E72" s="43">
        <v>22043</v>
      </c>
      <c r="F72" s="52">
        <f>1699+18018</f>
        <v>19717</v>
      </c>
      <c r="G72" s="522">
        <f>1814.93+320.27+13576.61+13076.68+245.05</f>
        <v>29033.54</v>
      </c>
      <c r="H72" s="43">
        <v>56442</v>
      </c>
      <c r="I72" s="194">
        <f t="shared" si="1"/>
        <v>51.44</v>
      </c>
    </row>
    <row r="73" spans="2:9" ht="12.75">
      <c r="B73" s="589"/>
      <c r="C73" s="598"/>
      <c r="D73" s="52" t="s">
        <v>207</v>
      </c>
      <c r="E73" s="43">
        <v>1008</v>
      </c>
      <c r="F73" s="52">
        <v>995</v>
      </c>
      <c r="G73" s="522">
        <v>836.54</v>
      </c>
      <c r="H73" s="43">
        <v>1007</v>
      </c>
      <c r="I73" s="194">
        <f t="shared" si="1"/>
        <v>83.07</v>
      </c>
    </row>
    <row r="74" spans="2:9" ht="12.75">
      <c r="B74" s="589"/>
      <c r="C74" s="598"/>
      <c r="D74" s="52" t="s">
        <v>201</v>
      </c>
      <c r="E74" s="43">
        <v>1415</v>
      </c>
      <c r="F74" s="52">
        <v>1362</v>
      </c>
      <c r="G74" s="522">
        <v>1386.9</v>
      </c>
      <c r="H74" s="43">
        <v>1612</v>
      </c>
      <c r="I74" s="194">
        <f t="shared" si="1"/>
        <v>86.04</v>
      </c>
    </row>
    <row r="75" spans="2:9" ht="12.75">
      <c r="B75" s="589"/>
      <c r="C75" s="598"/>
      <c r="D75" s="52" t="s">
        <v>249</v>
      </c>
      <c r="E75" s="43">
        <v>26998</v>
      </c>
      <c r="F75" s="52">
        <v>72974</v>
      </c>
      <c r="G75" s="522">
        <v>59711.85</v>
      </c>
      <c r="H75" s="43">
        <v>80900</v>
      </c>
      <c r="I75" s="194">
        <f t="shared" si="1"/>
        <v>73.81</v>
      </c>
    </row>
    <row r="76" spans="2:9" ht="12.75">
      <c r="B76" s="589"/>
      <c r="C76" s="598"/>
      <c r="D76" s="52" t="s">
        <v>199</v>
      </c>
      <c r="E76" s="43">
        <v>4921</v>
      </c>
      <c r="F76" s="52">
        <v>4883</v>
      </c>
      <c r="G76" s="522">
        <v>4883.67</v>
      </c>
      <c r="H76" s="43">
        <v>4921</v>
      </c>
      <c r="I76" s="194">
        <f t="shared" si="1"/>
        <v>99.24</v>
      </c>
    </row>
    <row r="77" spans="2:9" ht="12.75">
      <c r="B77" s="589"/>
      <c r="C77" s="598"/>
      <c r="D77" s="52" t="s">
        <v>252</v>
      </c>
      <c r="E77" s="43">
        <v>4305</v>
      </c>
      <c r="F77" s="52">
        <v>4445</v>
      </c>
      <c r="G77" s="522">
        <v>4634.95</v>
      </c>
      <c r="H77" s="43">
        <v>4635</v>
      </c>
      <c r="I77" s="194">
        <f t="shared" si="1"/>
        <v>100</v>
      </c>
    </row>
    <row r="78" spans="2:9" ht="12.75">
      <c r="B78" s="589"/>
      <c r="C78" s="598"/>
      <c r="D78" s="52" t="s">
        <v>253</v>
      </c>
      <c r="E78" s="43">
        <v>20215</v>
      </c>
      <c r="F78" s="52">
        <f>2614+9370+2952+12392</f>
        <v>27328</v>
      </c>
      <c r="G78" s="522">
        <f>11521.47+7323.86</f>
        <v>18845.329999999998</v>
      </c>
      <c r="H78" s="43">
        <v>21257</v>
      </c>
      <c r="I78" s="194">
        <f t="shared" si="1"/>
        <v>88.65</v>
      </c>
    </row>
    <row r="79" spans="2:9" ht="12.75">
      <c r="B79" s="589"/>
      <c r="C79" s="598"/>
      <c r="D79" s="52" t="s">
        <v>349</v>
      </c>
      <c r="E79" s="174"/>
      <c r="F79" s="42"/>
      <c r="G79" s="508">
        <f>1989.45+3186.24+796.56+4547.06</f>
        <v>10519.310000000001</v>
      </c>
      <c r="H79" s="174">
        <v>3983</v>
      </c>
      <c r="I79" s="194">
        <f t="shared" si="1"/>
        <v>264.11</v>
      </c>
    </row>
    <row r="80" spans="2:9" ht="12.75">
      <c r="B80" s="589"/>
      <c r="C80" s="598"/>
      <c r="D80" s="42" t="s">
        <v>317</v>
      </c>
      <c r="E80" s="174"/>
      <c r="F80" s="42">
        <v>11061</v>
      </c>
      <c r="G80" s="508"/>
      <c r="H80" s="174"/>
      <c r="I80" s="194">
        <f t="shared" si="1"/>
        <v>0</v>
      </c>
    </row>
    <row r="81" spans="2:9" ht="12.75">
      <c r="B81" s="589"/>
      <c r="C81" s="598"/>
      <c r="D81" s="52" t="s">
        <v>254</v>
      </c>
      <c r="E81" s="174">
        <v>60031</v>
      </c>
      <c r="F81" s="42"/>
      <c r="G81" s="508"/>
      <c r="H81" s="174"/>
      <c r="I81" s="194">
        <f t="shared" si="1"/>
        <v>0</v>
      </c>
    </row>
    <row r="82" spans="2:9" ht="12.75">
      <c r="B82" s="589"/>
      <c r="C82" s="598"/>
      <c r="D82" s="52" t="s">
        <v>281</v>
      </c>
      <c r="E82" s="174">
        <v>40000</v>
      </c>
      <c r="F82" s="42"/>
      <c r="G82" s="508"/>
      <c r="H82" s="174"/>
      <c r="I82" s="194">
        <f t="shared" si="1"/>
        <v>0</v>
      </c>
    </row>
    <row r="83" spans="2:9" ht="12.75">
      <c r="B83" s="589"/>
      <c r="C83" s="598"/>
      <c r="D83" s="52" t="s">
        <v>302</v>
      </c>
      <c r="E83" s="43">
        <v>85385</v>
      </c>
      <c r="F83" s="52">
        <v>389162</v>
      </c>
      <c r="G83" s="522">
        <f>57123.52+25400+335184.96</f>
        <v>417708.48</v>
      </c>
      <c r="H83" s="43">
        <v>192900</v>
      </c>
      <c r="I83" s="194">
        <f t="shared" si="1"/>
        <v>216.54</v>
      </c>
    </row>
    <row r="84" spans="2:9" ht="12.75">
      <c r="B84" s="589"/>
      <c r="C84" s="598"/>
      <c r="D84" s="52" t="s">
        <v>343</v>
      </c>
      <c r="E84" s="174"/>
      <c r="F84" s="42">
        <v>6226</v>
      </c>
      <c r="G84" s="508">
        <v>6495.58</v>
      </c>
      <c r="H84" s="174">
        <v>7000</v>
      </c>
      <c r="I84" s="194">
        <f t="shared" si="1"/>
        <v>92.79</v>
      </c>
    </row>
    <row r="85" spans="2:9" ht="12.75">
      <c r="B85" s="589"/>
      <c r="C85" s="598"/>
      <c r="D85" s="52" t="s">
        <v>315</v>
      </c>
      <c r="E85" s="174">
        <v>4595</v>
      </c>
      <c r="F85" s="42">
        <v>1120</v>
      </c>
      <c r="G85" s="508"/>
      <c r="H85" s="174"/>
      <c r="I85" s="194">
        <f t="shared" si="1"/>
        <v>0</v>
      </c>
    </row>
    <row r="86" spans="2:9" ht="12.75">
      <c r="B86" s="589"/>
      <c r="C86" s="598"/>
      <c r="D86" s="52" t="s">
        <v>323</v>
      </c>
      <c r="E86" s="174"/>
      <c r="F86" s="42">
        <v>73802</v>
      </c>
      <c r="G86" s="508"/>
      <c r="H86" s="174"/>
      <c r="I86" s="194">
        <f t="shared" si="1"/>
        <v>0</v>
      </c>
    </row>
    <row r="87" spans="2:9" ht="12.75">
      <c r="B87" s="589"/>
      <c r="C87" s="598"/>
      <c r="D87" s="52" t="s">
        <v>279</v>
      </c>
      <c r="E87" s="174">
        <v>18000</v>
      </c>
      <c r="F87" s="42"/>
      <c r="G87" s="508"/>
      <c r="H87" s="174"/>
      <c r="I87" s="194">
        <f t="shared" si="1"/>
        <v>0</v>
      </c>
    </row>
    <row r="88" spans="2:9" ht="12.75">
      <c r="B88" s="589"/>
      <c r="C88" s="598"/>
      <c r="D88" s="15" t="s">
        <v>333</v>
      </c>
      <c r="E88" s="16"/>
      <c r="F88" s="15">
        <v>38668</v>
      </c>
      <c r="G88" s="471">
        <v>44192.28</v>
      </c>
      <c r="H88" s="207">
        <v>67107</v>
      </c>
      <c r="I88" s="374">
        <f t="shared" si="1"/>
        <v>65.85</v>
      </c>
    </row>
    <row r="89" spans="2:9" ht="12.75">
      <c r="B89" s="589"/>
      <c r="C89" s="598"/>
      <c r="D89" s="52" t="s">
        <v>301</v>
      </c>
      <c r="E89" s="174"/>
      <c r="F89" s="42">
        <v>303277</v>
      </c>
      <c r="G89" s="508"/>
      <c r="H89" s="174"/>
      <c r="I89" s="194">
        <f t="shared" si="1"/>
        <v>0</v>
      </c>
    </row>
    <row r="90" spans="2:9" ht="12.75">
      <c r="B90" s="589"/>
      <c r="C90" s="598"/>
      <c r="D90" s="52" t="s">
        <v>363</v>
      </c>
      <c r="E90" s="174">
        <v>100000</v>
      </c>
      <c r="F90" s="42"/>
      <c r="G90" s="508"/>
      <c r="H90" s="174"/>
      <c r="I90" s="194">
        <f t="shared" si="1"/>
        <v>0</v>
      </c>
    </row>
    <row r="91" spans="2:9" ht="12.75">
      <c r="B91" s="589"/>
      <c r="C91" s="598"/>
      <c r="D91" s="52" t="s">
        <v>371</v>
      </c>
      <c r="E91" s="174"/>
      <c r="F91" s="42"/>
      <c r="G91" s="508">
        <v>35000</v>
      </c>
      <c r="H91" s="174">
        <v>35000</v>
      </c>
      <c r="I91" s="194">
        <f t="shared" si="1"/>
        <v>100</v>
      </c>
    </row>
    <row r="92" spans="2:9" ht="12.75">
      <c r="B92" s="589"/>
      <c r="C92" s="598"/>
      <c r="D92" s="52" t="s">
        <v>246</v>
      </c>
      <c r="E92" s="174"/>
      <c r="F92" s="42"/>
      <c r="G92" s="508">
        <v>149100</v>
      </c>
      <c r="H92" s="174">
        <v>149100</v>
      </c>
      <c r="I92" s="194">
        <f t="shared" si="1"/>
        <v>100</v>
      </c>
    </row>
    <row r="93" spans="2:9" ht="12.75">
      <c r="B93" s="589"/>
      <c r="C93" s="598"/>
      <c r="D93" s="52" t="s">
        <v>372</v>
      </c>
      <c r="E93" s="174"/>
      <c r="F93" s="42"/>
      <c r="G93" s="508">
        <v>5343</v>
      </c>
      <c r="H93" s="174">
        <v>5343</v>
      </c>
      <c r="I93" s="194">
        <f t="shared" si="1"/>
        <v>100</v>
      </c>
    </row>
    <row r="94" spans="2:9" ht="12.75">
      <c r="B94" s="589"/>
      <c r="C94" s="598"/>
      <c r="D94" s="52" t="s">
        <v>366</v>
      </c>
      <c r="E94" s="174"/>
      <c r="F94" s="42">
        <v>18145</v>
      </c>
      <c r="G94" s="508"/>
      <c r="H94" s="174"/>
      <c r="I94" s="194">
        <f t="shared" si="1"/>
        <v>0</v>
      </c>
    </row>
    <row r="95" spans="2:9" ht="12.75">
      <c r="B95" s="589"/>
      <c r="C95" s="598"/>
      <c r="D95" s="62" t="s">
        <v>373</v>
      </c>
      <c r="E95" s="175"/>
      <c r="F95" s="132"/>
      <c r="G95" s="512">
        <v>55733.86</v>
      </c>
      <c r="H95" s="174">
        <v>47516</v>
      </c>
      <c r="I95" s="194">
        <f t="shared" si="1"/>
        <v>117.29</v>
      </c>
    </row>
    <row r="96" spans="2:9" ht="12.75">
      <c r="B96" s="589"/>
      <c r="C96" s="598"/>
      <c r="D96" s="62" t="s">
        <v>348</v>
      </c>
      <c r="E96" s="175"/>
      <c r="F96" s="132"/>
      <c r="G96" s="512"/>
      <c r="H96" s="174">
        <v>8080</v>
      </c>
      <c r="I96" s="194">
        <f t="shared" si="1"/>
        <v>0</v>
      </c>
    </row>
    <row r="97" spans="2:9" ht="12.75">
      <c r="B97" s="589"/>
      <c r="C97" s="598"/>
      <c r="D97" s="62" t="s">
        <v>374</v>
      </c>
      <c r="E97" s="175"/>
      <c r="F97" s="132"/>
      <c r="G97" s="512">
        <v>11550</v>
      </c>
      <c r="H97" s="174">
        <v>11550</v>
      </c>
      <c r="I97" s="194">
        <f t="shared" si="1"/>
        <v>100</v>
      </c>
    </row>
    <row r="98" spans="2:9" ht="12.75">
      <c r="B98" s="589"/>
      <c r="C98" s="598"/>
      <c r="D98" s="62" t="s">
        <v>375</v>
      </c>
      <c r="E98" s="175"/>
      <c r="F98" s="132"/>
      <c r="G98" s="512"/>
      <c r="H98" s="174">
        <v>11848</v>
      </c>
      <c r="I98" s="194">
        <f t="shared" si="1"/>
        <v>0</v>
      </c>
    </row>
    <row r="99" spans="2:9" ht="12.75">
      <c r="B99" s="589"/>
      <c r="C99" s="598"/>
      <c r="D99" s="62" t="s">
        <v>376</v>
      </c>
      <c r="E99" s="175"/>
      <c r="F99" s="132"/>
      <c r="G99" s="512">
        <v>8227.5</v>
      </c>
      <c r="H99" s="174">
        <v>9462</v>
      </c>
      <c r="I99" s="194">
        <f t="shared" si="1"/>
        <v>86.95</v>
      </c>
    </row>
    <row r="100" spans="2:9" ht="12.75">
      <c r="B100" s="589"/>
      <c r="C100" s="598"/>
      <c r="D100" s="62" t="s">
        <v>287</v>
      </c>
      <c r="E100" s="175"/>
      <c r="F100" s="132"/>
      <c r="G100" s="512">
        <v>42431.14</v>
      </c>
      <c r="H100" s="174"/>
      <c r="I100" s="194"/>
    </row>
    <row r="101" spans="2:9" ht="13.5" thickBot="1">
      <c r="B101" s="589"/>
      <c r="C101" s="598"/>
      <c r="D101" s="53" t="s">
        <v>327</v>
      </c>
      <c r="E101" s="175">
        <v>59866</v>
      </c>
      <c r="F101" s="132">
        <v>6101</v>
      </c>
      <c r="G101" s="512">
        <f>26554.3+1283.97</f>
        <v>27838.27</v>
      </c>
      <c r="H101" s="174"/>
      <c r="I101" s="194">
        <f t="shared" si="1"/>
        <v>0</v>
      </c>
    </row>
    <row r="102" spans="2:9" s="45" customFormat="1" ht="15.75" thickBot="1">
      <c r="B102" s="106">
        <v>330</v>
      </c>
      <c r="C102" s="592" t="s">
        <v>107</v>
      </c>
      <c r="D102" s="593"/>
      <c r="E102" s="33">
        <f>E103</f>
        <v>39058</v>
      </c>
      <c r="F102" s="33">
        <f>F103</f>
        <v>9516</v>
      </c>
      <c r="G102" s="389">
        <f>G103</f>
        <v>0</v>
      </c>
      <c r="H102" s="33">
        <f>H103</f>
        <v>0</v>
      </c>
      <c r="I102" s="366">
        <f t="shared" si="1"/>
        <v>0</v>
      </c>
    </row>
    <row r="103" spans="2:9" s="283" customFormat="1" ht="13.5" thickBot="1">
      <c r="B103" s="588"/>
      <c r="C103" s="1">
        <v>331</v>
      </c>
      <c r="D103" s="35" t="s">
        <v>123</v>
      </c>
      <c r="E103" s="152">
        <f>E104</f>
        <v>39058</v>
      </c>
      <c r="F103" s="152">
        <f>F104</f>
        <v>9516</v>
      </c>
      <c r="G103" s="523">
        <f>G104</f>
        <v>0</v>
      </c>
      <c r="H103" s="152"/>
      <c r="I103" s="190">
        <f t="shared" si="1"/>
        <v>0</v>
      </c>
    </row>
    <row r="104" spans="2:9" ht="13.5" thickBot="1">
      <c r="B104" s="589"/>
      <c r="C104" s="74"/>
      <c r="D104" s="78" t="s">
        <v>315</v>
      </c>
      <c r="E104" s="155">
        <v>39058</v>
      </c>
      <c r="F104" s="144">
        <v>9516</v>
      </c>
      <c r="G104" s="514"/>
      <c r="H104" s="155"/>
      <c r="I104" s="193">
        <f t="shared" si="1"/>
        <v>0</v>
      </c>
    </row>
    <row r="105" spans="2:11" s="46" customFormat="1" ht="17.25" thickBot="1" thickTop="1">
      <c r="B105" s="594" t="s">
        <v>108</v>
      </c>
      <c r="C105" s="595"/>
      <c r="D105" s="596"/>
      <c r="E105" s="72">
        <f>E5+E22+E60</f>
        <v>9201831</v>
      </c>
      <c r="F105" s="72">
        <f>F5+F22+F60</f>
        <v>9722622</v>
      </c>
      <c r="G105" s="469">
        <f>G5+G22+G60</f>
        <v>9640328.24</v>
      </c>
      <c r="H105" s="72">
        <f>H5+H22+H60</f>
        <v>9248781</v>
      </c>
      <c r="I105" s="375">
        <f t="shared" si="1"/>
        <v>104.23</v>
      </c>
      <c r="K105" s="530"/>
    </row>
    <row r="106" ht="13.5" thickTop="1"/>
    <row r="107" spans="2:7" ht="12.75">
      <c r="B107" s="591"/>
      <c r="C107" s="591"/>
      <c r="D107" s="591"/>
      <c r="E107" s="284"/>
      <c r="F107" s="284"/>
      <c r="G107" s="284"/>
    </row>
    <row r="108" spans="3:7" ht="12.75">
      <c r="C108" s="284"/>
      <c r="D108" s="284"/>
      <c r="E108" s="345"/>
      <c r="F108" s="284"/>
      <c r="G108" s="284"/>
    </row>
    <row r="109" spans="3:7" ht="12.75">
      <c r="C109" s="284"/>
      <c r="D109" s="284"/>
      <c r="E109" s="284"/>
      <c r="F109" s="284"/>
      <c r="G109" s="284"/>
    </row>
    <row r="110" spans="3:7" ht="12.75">
      <c r="C110" s="284"/>
      <c r="D110" s="284"/>
      <c r="E110" s="284"/>
      <c r="F110" s="284"/>
      <c r="G110" s="284"/>
    </row>
    <row r="111" spans="3:7" ht="12.75">
      <c r="C111" s="284"/>
      <c r="D111" s="284"/>
      <c r="E111" s="284"/>
      <c r="F111" s="284"/>
      <c r="G111" s="284"/>
    </row>
    <row r="112" spans="3:7" ht="12.75">
      <c r="C112" s="284"/>
      <c r="D112" s="284"/>
      <c r="E112" s="284"/>
      <c r="F112" s="284"/>
      <c r="G112" s="284"/>
    </row>
    <row r="113" spans="3:7" ht="12.75">
      <c r="C113" s="284"/>
      <c r="D113" s="284"/>
      <c r="E113" s="284"/>
      <c r="F113" s="284"/>
      <c r="G113" s="284"/>
    </row>
    <row r="114" spans="3:7" ht="12.75">
      <c r="C114" s="284"/>
      <c r="D114" s="284"/>
      <c r="E114" s="284"/>
      <c r="F114" s="284"/>
      <c r="G114" s="284"/>
    </row>
    <row r="115" spans="3:7" ht="12.75">
      <c r="C115" s="284"/>
      <c r="D115" s="284"/>
      <c r="E115" s="284"/>
      <c r="F115" s="284"/>
      <c r="G115" s="284"/>
    </row>
    <row r="116" spans="3:7" ht="12.75">
      <c r="C116" s="284"/>
      <c r="D116" s="284"/>
      <c r="E116" s="284"/>
      <c r="F116" s="284"/>
      <c r="G116" s="284"/>
    </row>
    <row r="117" spans="3:7" ht="12.75">
      <c r="C117" s="284"/>
      <c r="D117" s="284"/>
      <c r="E117" s="284"/>
      <c r="F117" s="284"/>
      <c r="G117" s="284"/>
    </row>
    <row r="118" spans="3:7" ht="12.75">
      <c r="C118" s="284"/>
      <c r="D118" s="284"/>
      <c r="E118" s="284"/>
      <c r="F118" s="284"/>
      <c r="G118" s="284"/>
    </row>
    <row r="119" spans="3:7" ht="12.75">
      <c r="C119" s="284"/>
      <c r="D119" s="284"/>
      <c r="E119" s="284"/>
      <c r="F119" s="284"/>
      <c r="G119" s="284"/>
    </row>
    <row r="120" spans="3:7" ht="12.75">
      <c r="C120" s="284"/>
      <c r="D120" s="284"/>
      <c r="E120" s="284"/>
      <c r="F120" s="284"/>
      <c r="G120" s="284"/>
    </row>
    <row r="121" spans="3:7" ht="12.75">
      <c r="C121" s="284"/>
      <c r="D121" s="284"/>
      <c r="E121" s="284"/>
      <c r="F121" s="284"/>
      <c r="G121" s="284"/>
    </row>
    <row r="122" spans="3:7" ht="12.75">
      <c r="C122" s="284"/>
      <c r="D122" s="284"/>
      <c r="E122" s="284"/>
      <c r="F122" s="284"/>
      <c r="G122" s="284"/>
    </row>
    <row r="123" spans="3:7" ht="12.75">
      <c r="C123" s="284"/>
      <c r="D123" s="284"/>
      <c r="E123" s="284"/>
      <c r="F123" s="284"/>
      <c r="G123" s="284"/>
    </row>
    <row r="124" spans="3:7" ht="12.75">
      <c r="C124" s="284"/>
      <c r="D124" s="284"/>
      <c r="E124" s="284"/>
      <c r="F124" s="284"/>
      <c r="G124" s="284"/>
    </row>
    <row r="125" spans="3:7" ht="12.75">
      <c r="C125" s="284"/>
      <c r="D125" s="284"/>
      <c r="E125" s="284"/>
      <c r="F125" s="284"/>
      <c r="G125" s="284"/>
    </row>
    <row r="126" spans="3:7" ht="12.75">
      <c r="C126" s="284"/>
      <c r="D126" s="284"/>
      <c r="E126" s="284"/>
      <c r="F126" s="284"/>
      <c r="G126" s="284"/>
    </row>
    <row r="127" spans="3:7" ht="12.75">
      <c r="C127" s="284"/>
      <c r="D127" s="284"/>
      <c r="E127" s="284"/>
      <c r="F127" s="284"/>
      <c r="G127" s="284"/>
    </row>
    <row r="128" spans="3:7" ht="12.75">
      <c r="C128" s="284"/>
      <c r="D128" s="284"/>
      <c r="E128" s="284"/>
      <c r="F128" s="284"/>
      <c r="G128" s="284"/>
    </row>
    <row r="129" spans="3:7" ht="12.75">
      <c r="C129" s="284"/>
      <c r="D129" s="284"/>
      <c r="E129" s="284"/>
      <c r="F129" s="284"/>
      <c r="G129" s="284"/>
    </row>
    <row r="130" spans="3:7" ht="12.75">
      <c r="C130" s="284"/>
      <c r="D130" s="284"/>
      <c r="E130" s="284"/>
      <c r="F130" s="284"/>
      <c r="G130" s="284"/>
    </row>
    <row r="131" spans="3:7" ht="12.75">
      <c r="C131" s="284"/>
      <c r="D131" s="284"/>
      <c r="E131" s="284"/>
      <c r="F131" s="284"/>
      <c r="G131" s="284"/>
    </row>
    <row r="132" spans="3:7" ht="12.75">
      <c r="C132" s="284"/>
      <c r="D132" s="284"/>
      <c r="E132" s="284"/>
      <c r="F132" s="284"/>
      <c r="G132" s="284"/>
    </row>
    <row r="133" spans="3:7" ht="12.75">
      <c r="C133" s="284"/>
      <c r="D133" s="284"/>
      <c r="E133" s="284"/>
      <c r="F133" s="284"/>
      <c r="G133" s="284"/>
    </row>
    <row r="134" spans="3:7" ht="12.75">
      <c r="C134" s="284"/>
      <c r="D134" s="284"/>
      <c r="E134" s="284"/>
      <c r="F134" s="284"/>
      <c r="G134" s="284"/>
    </row>
    <row r="135" spans="3:7" ht="12.75">
      <c r="C135" s="284"/>
      <c r="D135" s="284"/>
      <c r="E135" s="284"/>
      <c r="F135" s="284"/>
      <c r="G135" s="284"/>
    </row>
    <row r="136" spans="3:7" ht="12.75">
      <c r="C136" s="284"/>
      <c r="D136" s="284"/>
      <c r="E136" s="284"/>
      <c r="F136" s="284"/>
      <c r="G136" s="284"/>
    </row>
    <row r="137" spans="3:7" ht="12.75">
      <c r="C137" s="284"/>
      <c r="D137" s="284"/>
      <c r="E137" s="284"/>
      <c r="F137" s="284"/>
      <c r="G137" s="284"/>
    </row>
    <row r="138" spans="3:7" ht="12.75">
      <c r="C138" s="284"/>
      <c r="D138" s="284"/>
      <c r="E138" s="284"/>
      <c r="F138" s="284"/>
      <c r="G138" s="284"/>
    </row>
    <row r="139" spans="3:7" ht="12.75">
      <c r="C139" s="284"/>
      <c r="D139" s="284"/>
      <c r="E139" s="284"/>
      <c r="F139" s="284"/>
      <c r="G139" s="284"/>
    </row>
    <row r="140" spans="3:7" ht="12.75">
      <c r="C140" s="284"/>
      <c r="D140" s="284"/>
      <c r="E140" s="284"/>
      <c r="F140" s="284"/>
      <c r="G140" s="284"/>
    </row>
    <row r="141" spans="3:7" ht="12.75">
      <c r="C141" s="284"/>
      <c r="D141" s="284"/>
      <c r="E141" s="284"/>
      <c r="F141" s="284"/>
      <c r="G141" s="284"/>
    </row>
    <row r="144" ht="12.75">
      <c r="H144" s="203"/>
    </row>
    <row r="163" spans="2:8" ht="12.75">
      <c r="B163" s="285"/>
      <c r="C163" s="286"/>
      <c r="D163" s="286"/>
      <c r="E163" s="286"/>
      <c r="F163" s="286"/>
      <c r="G163" s="286"/>
      <c r="H163" s="204"/>
    </row>
  </sheetData>
  <sheetProtection/>
  <mergeCells count="39">
    <mergeCell ref="B9:B12"/>
    <mergeCell ref="C6:D6"/>
    <mergeCell ref="B35:B51"/>
    <mergeCell ref="B14:B21"/>
    <mergeCell ref="C23:D23"/>
    <mergeCell ref="B24:B33"/>
    <mergeCell ref="C34:D34"/>
    <mergeCell ref="C29:C33"/>
    <mergeCell ref="C36:C38"/>
    <mergeCell ref="C54:D54"/>
    <mergeCell ref="C52:D52"/>
    <mergeCell ref="C40:C49"/>
    <mergeCell ref="C5:D5"/>
    <mergeCell ref="C10:C12"/>
    <mergeCell ref="C8:D8"/>
    <mergeCell ref="C13:D13"/>
    <mergeCell ref="C15:C21"/>
    <mergeCell ref="C25:C27"/>
    <mergeCell ref="C22:D22"/>
    <mergeCell ref="B55:B59"/>
    <mergeCell ref="B107:D107"/>
    <mergeCell ref="C61:D61"/>
    <mergeCell ref="B105:D105"/>
    <mergeCell ref="B103:B104"/>
    <mergeCell ref="C65:C101"/>
    <mergeCell ref="B62:B101"/>
    <mergeCell ref="C102:D102"/>
    <mergeCell ref="C60:D60"/>
    <mergeCell ref="C56:C59"/>
    <mergeCell ref="G3:G4"/>
    <mergeCell ref="I3:I4"/>
    <mergeCell ref="B1:D1"/>
    <mergeCell ref="B2:D2"/>
    <mergeCell ref="B3:B4"/>
    <mergeCell ref="H3:H4"/>
    <mergeCell ref="C3:C4"/>
    <mergeCell ref="D3:D4"/>
    <mergeCell ref="F3:F4"/>
    <mergeCell ref="E3:E4"/>
  </mergeCells>
  <printOptions/>
  <pageMargins left="0.16" right="0.12" top="0.62" bottom="0.16" header="0.46" footer="0.16"/>
  <pageSetup horizontalDpi="300" verticalDpi="300" orientation="portrait" paperSize="9" scale="87" r:id="rId1"/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O195"/>
  <sheetViews>
    <sheetView showGridLines="0" workbookViewId="0" topLeftCell="A138">
      <selection activeCell="D139" sqref="D139"/>
    </sheetView>
  </sheetViews>
  <sheetFormatPr defaultColWidth="9.140625" defaultRowHeight="12.75"/>
  <cols>
    <col min="1" max="1" width="1.57421875" style="114" customWidth="1"/>
    <col min="2" max="2" width="10.140625" style="114" customWidth="1"/>
    <col min="3" max="3" width="8.7109375" style="208" customWidth="1"/>
    <col min="4" max="4" width="27.421875" style="114" customWidth="1"/>
    <col min="5" max="6" width="13.57421875" style="114" customWidth="1"/>
    <col min="7" max="7" width="15.00390625" style="114" customWidth="1"/>
    <col min="8" max="8" width="12.7109375" style="205" customWidth="1"/>
    <col min="9" max="9" width="12.57421875" style="114" customWidth="1"/>
    <col min="10" max="10" width="9.140625" style="114" customWidth="1"/>
    <col min="11" max="11" width="10.140625" style="114" bestFit="1" customWidth="1"/>
    <col min="12" max="12" width="11.7109375" style="114" bestFit="1" customWidth="1"/>
    <col min="13" max="13" width="12.8515625" style="114" customWidth="1"/>
    <col min="14" max="14" width="9.140625" style="114" customWidth="1"/>
    <col min="15" max="15" width="11.7109375" style="114" bestFit="1" customWidth="1"/>
    <col min="16" max="16384" width="9.140625" style="114" customWidth="1"/>
  </cols>
  <sheetData>
    <row r="1" spans="2:8" ht="13.5" thickBot="1">
      <c r="B1" s="618" t="s">
        <v>0</v>
      </c>
      <c r="C1" s="618"/>
      <c r="D1" s="618"/>
      <c r="E1" s="217"/>
      <c r="F1" s="217"/>
      <c r="G1" s="217"/>
      <c r="H1" s="217"/>
    </row>
    <row r="2" spans="2:9" ht="13.5" customHeight="1" thickTop="1">
      <c r="B2" s="619" t="s">
        <v>58</v>
      </c>
      <c r="C2" s="621" t="s">
        <v>59</v>
      </c>
      <c r="D2" s="623" t="s">
        <v>60</v>
      </c>
      <c r="E2" s="578" t="s">
        <v>354</v>
      </c>
      <c r="F2" s="578" t="s">
        <v>353</v>
      </c>
      <c r="G2" s="578" t="s">
        <v>369</v>
      </c>
      <c r="H2" s="578" t="s">
        <v>370</v>
      </c>
      <c r="I2" s="580" t="s">
        <v>368</v>
      </c>
    </row>
    <row r="3" spans="2:9" ht="31.5" customHeight="1" thickBot="1">
      <c r="B3" s="620"/>
      <c r="C3" s="622"/>
      <c r="D3" s="624"/>
      <c r="E3" s="579"/>
      <c r="F3" s="579"/>
      <c r="G3" s="579"/>
      <c r="H3" s="579"/>
      <c r="I3" s="581"/>
    </row>
    <row r="4" spans="2:9" ht="15.75" customHeight="1" thickBot="1" thickTop="1">
      <c r="B4" s="94" t="s">
        <v>62</v>
      </c>
      <c r="C4" s="616" t="s">
        <v>1</v>
      </c>
      <c r="D4" s="617"/>
      <c r="E4" s="95">
        <f>SUM(E5:E8)</f>
        <v>971730</v>
      </c>
      <c r="F4" s="95">
        <f>SUM(F5:F8)</f>
        <v>883614</v>
      </c>
      <c r="G4" s="458">
        <f>SUM(G5:G8)</f>
        <v>976223.29</v>
      </c>
      <c r="H4" s="95">
        <f>SUM(H5:H8)</f>
        <v>881512</v>
      </c>
      <c r="I4" s="395">
        <f>IF(H4=0,0,G4/H4)*100</f>
        <v>110.74418612565684</v>
      </c>
    </row>
    <row r="5" spans="2:9" ht="12.75">
      <c r="B5" s="607"/>
      <c r="C5" s="232">
        <v>610</v>
      </c>
      <c r="D5" s="13" t="s">
        <v>2</v>
      </c>
      <c r="E5" s="13">
        <v>465252</v>
      </c>
      <c r="F5" s="13">
        <v>431649</v>
      </c>
      <c r="G5" s="459">
        <v>437364.06</v>
      </c>
      <c r="H5" s="14">
        <v>446969</v>
      </c>
      <c r="I5" s="396">
        <f>IF(H5=0,0,G5/H5)*100</f>
        <v>97.85109481865632</v>
      </c>
    </row>
    <row r="6" spans="2:9" ht="12.75">
      <c r="B6" s="608"/>
      <c r="C6" s="233">
        <v>620</v>
      </c>
      <c r="D6" s="15" t="s">
        <v>3</v>
      </c>
      <c r="E6" s="15">
        <v>179953</v>
      </c>
      <c r="F6" s="15">
        <v>175243</v>
      </c>
      <c r="G6" s="460">
        <v>178000.1</v>
      </c>
      <c r="H6" s="16">
        <v>165884</v>
      </c>
      <c r="I6" s="397">
        <f aca="true" t="shared" si="0" ref="I6:I69">IF(H6=0,0,G6/H6)*100</f>
        <v>107.30395939331099</v>
      </c>
    </row>
    <row r="7" spans="2:9" ht="12.75">
      <c r="B7" s="608"/>
      <c r="C7" s="233">
        <v>630</v>
      </c>
      <c r="D7" s="15" t="s">
        <v>61</v>
      </c>
      <c r="E7" s="15">
        <v>302729</v>
      </c>
      <c r="F7" s="15">
        <v>273797</v>
      </c>
      <c r="G7" s="460">
        <v>356359.19</v>
      </c>
      <c r="H7" s="16">
        <v>268659</v>
      </c>
      <c r="I7" s="397">
        <f t="shared" si="0"/>
        <v>132.64368213981294</v>
      </c>
    </row>
    <row r="8" spans="2:9" ht="13.5" thickBot="1">
      <c r="B8" s="612"/>
      <c r="C8" s="234">
        <v>640</v>
      </c>
      <c r="D8" s="151" t="s">
        <v>286</v>
      </c>
      <c r="E8" s="151">
        <v>23796</v>
      </c>
      <c r="F8" s="11">
        <v>2925</v>
      </c>
      <c r="G8" s="461">
        <v>4499.94</v>
      </c>
      <c r="H8" s="18"/>
      <c r="I8" s="398">
        <f t="shared" si="0"/>
        <v>0</v>
      </c>
    </row>
    <row r="9" spans="2:9" ht="15.75" thickBot="1">
      <c r="B9" s="64" t="s">
        <v>4</v>
      </c>
      <c r="C9" s="606" t="s">
        <v>5</v>
      </c>
      <c r="D9" s="593"/>
      <c r="E9" s="33">
        <f>SUM(E10:E12)</f>
        <v>82274</v>
      </c>
      <c r="F9" s="33">
        <f>SUM(F10:F12)</f>
        <v>22548</v>
      </c>
      <c r="G9" s="389">
        <f>SUM(G10:G12)</f>
        <v>18623.79</v>
      </c>
      <c r="H9" s="33">
        <f>SUM(H10:H12)</f>
        <v>16320</v>
      </c>
      <c r="I9" s="366">
        <f t="shared" si="0"/>
        <v>114.11636029411764</v>
      </c>
    </row>
    <row r="10" spans="2:9" ht="12.75">
      <c r="B10" s="609"/>
      <c r="C10" s="235">
        <v>630</v>
      </c>
      <c r="D10" s="19" t="s">
        <v>63</v>
      </c>
      <c r="E10" s="19">
        <v>1162</v>
      </c>
      <c r="F10" s="19">
        <v>2324</v>
      </c>
      <c r="G10" s="462">
        <v>3486</v>
      </c>
      <c r="H10" s="20">
        <v>3320</v>
      </c>
      <c r="I10" s="399">
        <f t="shared" si="0"/>
        <v>105</v>
      </c>
    </row>
    <row r="11" spans="2:9" ht="12.75">
      <c r="B11" s="610"/>
      <c r="C11" s="236">
        <v>630</v>
      </c>
      <c r="D11" s="21" t="s">
        <v>64</v>
      </c>
      <c r="E11" s="21">
        <v>13096</v>
      </c>
      <c r="F11" s="21">
        <v>9612</v>
      </c>
      <c r="G11" s="463">
        <f>13021.55+311.04+1579.06</f>
        <v>14911.65</v>
      </c>
      <c r="H11" s="22">
        <v>13000</v>
      </c>
      <c r="I11" s="400">
        <f t="shared" si="0"/>
        <v>114.70499999999998</v>
      </c>
    </row>
    <row r="12" spans="2:9" ht="13.5" thickBot="1">
      <c r="B12" s="611"/>
      <c r="C12" s="237">
        <v>630</v>
      </c>
      <c r="D12" s="179" t="s">
        <v>277</v>
      </c>
      <c r="E12" s="21">
        <v>68016</v>
      </c>
      <c r="F12" s="444">
        <v>10612</v>
      </c>
      <c r="G12" s="464">
        <v>226.14</v>
      </c>
      <c r="H12" s="218"/>
      <c r="I12" s="401">
        <f t="shared" si="0"/>
        <v>0</v>
      </c>
    </row>
    <row r="13" spans="2:9" s="28" customFormat="1" ht="15.75" thickBot="1">
      <c r="B13" s="64" t="s">
        <v>65</v>
      </c>
      <c r="C13" s="606" t="s">
        <v>200</v>
      </c>
      <c r="D13" s="593"/>
      <c r="E13" s="33">
        <f>SUM(E14:E17)</f>
        <v>27963</v>
      </c>
      <c r="F13" s="33">
        <f>SUM(F14:F17)</f>
        <v>24050</v>
      </c>
      <c r="G13" s="389">
        <f>SUM(G14:G17)</f>
        <v>25050.219999999998</v>
      </c>
      <c r="H13" s="33">
        <f>SUM(H14:H16)</f>
        <v>27674</v>
      </c>
      <c r="I13" s="366">
        <f t="shared" si="0"/>
        <v>90.5189708751897</v>
      </c>
    </row>
    <row r="14" spans="2:9" ht="12.75">
      <c r="B14" s="609"/>
      <c r="C14" s="232">
        <v>610</v>
      </c>
      <c r="D14" s="13" t="s">
        <v>2</v>
      </c>
      <c r="E14" s="13">
        <v>18167</v>
      </c>
      <c r="F14" s="14">
        <v>15592</v>
      </c>
      <c r="G14" s="465">
        <v>15883.66</v>
      </c>
      <c r="H14" s="14">
        <v>17727</v>
      </c>
      <c r="I14" s="396">
        <f t="shared" si="0"/>
        <v>89.60151181813053</v>
      </c>
    </row>
    <row r="15" spans="2:9" ht="12.75">
      <c r="B15" s="610"/>
      <c r="C15" s="233">
        <v>620</v>
      </c>
      <c r="D15" s="15" t="s">
        <v>3</v>
      </c>
      <c r="E15" s="15">
        <v>6580</v>
      </c>
      <c r="F15" s="16">
        <v>5691</v>
      </c>
      <c r="G15" s="466">
        <v>6220</v>
      </c>
      <c r="H15" s="16">
        <v>6370</v>
      </c>
      <c r="I15" s="397">
        <f t="shared" si="0"/>
        <v>97.64521193092621</v>
      </c>
    </row>
    <row r="16" spans="2:9" ht="12.75">
      <c r="B16" s="610"/>
      <c r="C16" s="233">
        <v>630</v>
      </c>
      <c r="D16" s="15" t="s">
        <v>61</v>
      </c>
      <c r="E16" s="15">
        <v>3216</v>
      </c>
      <c r="F16" s="16">
        <v>2533</v>
      </c>
      <c r="G16" s="467">
        <v>2610.08</v>
      </c>
      <c r="H16" s="164">
        <v>3577</v>
      </c>
      <c r="I16" s="397">
        <f t="shared" si="0"/>
        <v>72.96840928152083</v>
      </c>
    </row>
    <row r="17" spans="2:9" ht="13.5" thickBot="1">
      <c r="B17" s="611"/>
      <c r="C17" s="234">
        <v>640</v>
      </c>
      <c r="D17" s="151" t="s">
        <v>286</v>
      </c>
      <c r="E17" s="15"/>
      <c r="F17" s="445">
        <v>234</v>
      </c>
      <c r="G17" s="468">
        <v>336.48</v>
      </c>
      <c r="H17" s="188"/>
      <c r="I17" s="191">
        <f t="shared" si="0"/>
        <v>0</v>
      </c>
    </row>
    <row r="18" spans="2:9" ht="15.75" thickBot="1">
      <c r="B18" s="64" t="s">
        <v>197</v>
      </c>
      <c r="C18" s="606" t="s">
        <v>204</v>
      </c>
      <c r="D18" s="593"/>
      <c r="E18" s="33">
        <f>E21+E19+E20+E22+E23</f>
        <v>33449</v>
      </c>
      <c r="F18" s="33">
        <f>F21+F19+F20+F22+F23</f>
        <v>18092</v>
      </c>
      <c r="G18" s="389">
        <f>G21+G19+G20+G22+G23</f>
        <v>54586.799999999996</v>
      </c>
      <c r="H18" s="33">
        <f>H21+H19+H20+H22+H23</f>
        <v>10980</v>
      </c>
      <c r="I18" s="366">
        <f t="shared" si="0"/>
        <v>497.1475409836065</v>
      </c>
    </row>
    <row r="19" spans="2:9" ht="14.25" customHeight="1">
      <c r="B19" s="613"/>
      <c r="C19" s="232">
        <v>610</v>
      </c>
      <c r="D19" s="23" t="s">
        <v>2</v>
      </c>
      <c r="E19" s="23">
        <v>7969</v>
      </c>
      <c r="F19" s="13">
        <v>7777</v>
      </c>
      <c r="G19" s="23">
        <v>7662.08</v>
      </c>
      <c r="H19" s="14">
        <v>7632</v>
      </c>
      <c r="I19" s="396">
        <f t="shared" si="0"/>
        <v>100.39412997903563</v>
      </c>
    </row>
    <row r="20" spans="2:9" ht="14.25" customHeight="1">
      <c r="B20" s="614"/>
      <c r="C20" s="233">
        <v>620</v>
      </c>
      <c r="D20" s="24" t="s">
        <v>3</v>
      </c>
      <c r="E20" s="24">
        <v>3469</v>
      </c>
      <c r="F20" s="15">
        <v>3267</v>
      </c>
      <c r="G20" s="24">
        <v>3320.66</v>
      </c>
      <c r="H20" s="16">
        <v>2120</v>
      </c>
      <c r="I20" s="397">
        <f t="shared" si="0"/>
        <v>156.63490566037734</v>
      </c>
    </row>
    <row r="21" spans="2:9" ht="14.25" customHeight="1">
      <c r="B21" s="614"/>
      <c r="C21" s="233">
        <v>630</v>
      </c>
      <c r="D21" s="24" t="s">
        <v>61</v>
      </c>
      <c r="E21" s="24">
        <v>1227</v>
      </c>
      <c r="F21" s="16">
        <v>947</v>
      </c>
      <c r="G21" s="325">
        <f>7170-6172.96-55-354</f>
        <v>588.04</v>
      </c>
      <c r="H21" s="164">
        <v>1228</v>
      </c>
      <c r="I21" s="397">
        <f t="shared" si="0"/>
        <v>47.88599348534201</v>
      </c>
    </row>
    <row r="22" spans="2:9" ht="14.25" customHeight="1">
      <c r="B22" s="614"/>
      <c r="C22" s="233">
        <v>640</v>
      </c>
      <c r="D22" s="15" t="s">
        <v>286</v>
      </c>
      <c r="E22" s="24">
        <v>3100</v>
      </c>
      <c r="F22" s="15">
        <v>6101</v>
      </c>
      <c r="G22" s="303"/>
      <c r="H22" s="164"/>
      <c r="I22" s="397">
        <f t="shared" si="0"/>
        <v>0</v>
      </c>
    </row>
    <row r="23" spans="2:9" ht="14.25" customHeight="1" thickBot="1">
      <c r="B23" s="615"/>
      <c r="C23" s="238">
        <v>600</v>
      </c>
      <c r="D23" s="151" t="s">
        <v>287</v>
      </c>
      <c r="E23" s="24">
        <v>17684</v>
      </c>
      <c r="F23" s="11"/>
      <c r="G23" s="304">
        <v>43016.02</v>
      </c>
      <c r="H23" s="188"/>
      <c r="I23" s="191">
        <f t="shared" si="0"/>
        <v>0</v>
      </c>
    </row>
    <row r="24" spans="2:9" s="28" customFormat="1" ht="15.75" thickBot="1">
      <c r="B24" s="64" t="s">
        <v>6</v>
      </c>
      <c r="C24" s="606" t="s">
        <v>7</v>
      </c>
      <c r="D24" s="593"/>
      <c r="E24" s="33">
        <f>E25</f>
        <v>92558</v>
      </c>
      <c r="F24" s="33">
        <f>F25</f>
        <v>89614</v>
      </c>
      <c r="G24" s="389">
        <f>G25</f>
        <v>87966.26</v>
      </c>
      <c r="H24" s="33">
        <f>H25</f>
        <v>99500</v>
      </c>
      <c r="I24" s="366">
        <f t="shared" si="0"/>
        <v>88.40830150753767</v>
      </c>
    </row>
    <row r="25" spans="2:9" ht="13.5" thickBot="1">
      <c r="B25" s="65"/>
      <c r="C25" s="239">
        <v>630</v>
      </c>
      <c r="D25" s="5" t="s">
        <v>8</v>
      </c>
      <c r="E25" s="305">
        <v>92558</v>
      </c>
      <c r="F25" s="445">
        <f>85367+4247</f>
        <v>89614</v>
      </c>
      <c r="G25" s="468">
        <v>87966.26</v>
      </c>
      <c r="H25" s="188">
        <v>99500</v>
      </c>
      <c r="I25" s="191">
        <f t="shared" si="0"/>
        <v>88.40830150753767</v>
      </c>
    </row>
    <row r="26" spans="2:9" s="28" customFormat="1" ht="15.75" thickBot="1">
      <c r="B26" s="64" t="s">
        <v>9</v>
      </c>
      <c r="C26" s="606" t="s">
        <v>10</v>
      </c>
      <c r="D26" s="593"/>
      <c r="E26" s="33">
        <f>E27</f>
        <v>274</v>
      </c>
      <c r="F26" s="33">
        <f>F27</f>
        <v>464</v>
      </c>
      <c r="G26" s="389">
        <f>G27</f>
        <v>276.29</v>
      </c>
      <c r="H26" s="33">
        <f>H27</f>
        <v>500</v>
      </c>
      <c r="I26" s="366">
        <f t="shared" si="0"/>
        <v>55.25800000000001</v>
      </c>
    </row>
    <row r="27" spans="2:9" ht="13.5" thickBot="1">
      <c r="B27" s="66"/>
      <c r="C27" s="240"/>
      <c r="D27" s="5" t="s">
        <v>11</v>
      </c>
      <c r="E27" s="305">
        <v>274</v>
      </c>
      <c r="F27" s="433">
        <v>464</v>
      </c>
      <c r="G27" s="468">
        <v>276.29</v>
      </c>
      <c r="H27" s="188">
        <v>500</v>
      </c>
      <c r="I27" s="191">
        <f t="shared" si="0"/>
        <v>55.25800000000001</v>
      </c>
    </row>
    <row r="28" spans="2:9" s="28" customFormat="1" ht="15.75" thickBot="1">
      <c r="B28" s="64" t="s">
        <v>12</v>
      </c>
      <c r="C28" s="606" t="s">
        <v>67</v>
      </c>
      <c r="D28" s="593"/>
      <c r="E28" s="33">
        <f>SUM(E29:E31)</f>
        <v>150296</v>
      </c>
      <c r="F28" s="33">
        <f>SUM(F29:F31)</f>
        <v>153336</v>
      </c>
      <c r="G28" s="389">
        <f>SUM(G29:G32)</f>
        <v>153063.15</v>
      </c>
      <c r="H28" s="33">
        <f>SUM(H29:H31)</f>
        <v>145373</v>
      </c>
      <c r="I28" s="366">
        <f t="shared" si="0"/>
        <v>105.28994379974273</v>
      </c>
    </row>
    <row r="29" spans="2:9" ht="12.75">
      <c r="B29" s="607"/>
      <c r="C29" s="232">
        <v>610</v>
      </c>
      <c r="D29" s="13" t="s">
        <v>2</v>
      </c>
      <c r="E29" s="13">
        <v>92984</v>
      </c>
      <c r="F29" s="14">
        <v>93001</v>
      </c>
      <c r="G29" s="470">
        <v>93672.78</v>
      </c>
      <c r="H29" s="14">
        <v>91727</v>
      </c>
      <c r="I29" s="396">
        <f t="shared" si="0"/>
        <v>102.12127290764987</v>
      </c>
    </row>
    <row r="30" spans="2:9" ht="12.75">
      <c r="B30" s="608"/>
      <c r="C30" s="233">
        <v>620</v>
      </c>
      <c r="D30" s="15" t="s">
        <v>3</v>
      </c>
      <c r="E30" s="15">
        <v>34488</v>
      </c>
      <c r="F30" s="16">
        <v>34548</v>
      </c>
      <c r="G30" s="471">
        <v>37213.83</v>
      </c>
      <c r="H30" s="16">
        <v>34046</v>
      </c>
      <c r="I30" s="397">
        <f t="shared" si="0"/>
        <v>109.30455853844798</v>
      </c>
    </row>
    <row r="31" spans="2:9" ht="12.75">
      <c r="B31" s="608"/>
      <c r="C31" s="233">
        <v>630</v>
      </c>
      <c r="D31" s="15" t="s">
        <v>61</v>
      </c>
      <c r="E31" s="302">
        <v>22824</v>
      </c>
      <c r="F31" s="164">
        <f>25687+100</f>
        <v>25787</v>
      </c>
      <c r="G31" s="472">
        <v>22014.74</v>
      </c>
      <c r="H31" s="164">
        <v>19600</v>
      </c>
      <c r="I31" s="397">
        <f t="shared" si="0"/>
        <v>112.32010204081632</v>
      </c>
    </row>
    <row r="32" spans="2:9" ht="13.5" thickBot="1">
      <c r="B32" s="182"/>
      <c r="C32" s="233">
        <v>640</v>
      </c>
      <c r="D32" s="15" t="s">
        <v>286</v>
      </c>
      <c r="E32" s="305"/>
      <c r="F32" s="305"/>
      <c r="G32" s="473">
        <v>161.8</v>
      </c>
      <c r="H32" s="188"/>
      <c r="I32" s="191">
        <f t="shared" si="0"/>
        <v>0</v>
      </c>
    </row>
    <row r="33" spans="2:9" s="28" customFormat="1" ht="15.75" thickBot="1">
      <c r="B33" s="64" t="s">
        <v>14</v>
      </c>
      <c r="C33" s="606" t="s">
        <v>15</v>
      </c>
      <c r="D33" s="593"/>
      <c r="E33" s="33">
        <f>E34</f>
        <v>1028</v>
      </c>
      <c r="F33" s="33">
        <f>F34</f>
        <v>1230</v>
      </c>
      <c r="G33" s="389">
        <f>G34</f>
        <v>600</v>
      </c>
      <c r="H33" s="33">
        <f>H34</f>
        <v>1500</v>
      </c>
      <c r="I33" s="366">
        <f t="shared" si="0"/>
        <v>40</v>
      </c>
    </row>
    <row r="34" spans="2:9" ht="13.5" thickBot="1">
      <c r="B34" s="66"/>
      <c r="C34" s="241"/>
      <c r="D34" s="10" t="s">
        <v>16</v>
      </c>
      <c r="E34" s="109">
        <v>1028</v>
      </c>
      <c r="F34" s="109">
        <v>1230</v>
      </c>
      <c r="G34" s="474">
        <v>600</v>
      </c>
      <c r="H34" s="9">
        <v>1500</v>
      </c>
      <c r="I34" s="402">
        <f t="shared" si="0"/>
        <v>40</v>
      </c>
    </row>
    <row r="35" spans="2:9" s="287" customFormat="1" ht="15.75" thickBot="1">
      <c r="B35" s="67" t="s">
        <v>55</v>
      </c>
      <c r="C35" s="606" t="s">
        <v>56</v>
      </c>
      <c r="D35" s="593"/>
      <c r="E35" s="58">
        <f>SUM(E36:E39)</f>
        <v>45897</v>
      </c>
      <c r="F35" s="58">
        <f>SUM(F36:F39)</f>
        <v>45604</v>
      </c>
      <c r="G35" s="475">
        <f>SUM(G36:G39)</f>
        <v>70768.37</v>
      </c>
      <c r="H35" s="58">
        <f>SUM(H36:H38)</f>
        <v>56442</v>
      </c>
      <c r="I35" s="359">
        <f t="shared" si="0"/>
        <v>125.38246341376988</v>
      </c>
    </row>
    <row r="36" spans="2:9" ht="12.75">
      <c r="B36" s="607"/>
      <c r="C36" s="232">
        <v>610</v>
      </c>
      <c r="D36" s="13" t="s">
        <v>2</v>
      </c>
      <c r="E36" s="306">
        <v>21683</v>
      </c>
      <c r="F36" s="306">
        <v>23558</v>
      </c>
      <c r="G36" s="476">
        <v>34957.48</v>
      </c>
      <c r="H36" s="163">
        <v>25482</v>
      </c>
      <c r="I36" s="396">
        <f t="shared" si="0"/>
        <v>137.18499332862416</v>
      </c>
    </row>
    <row r="37" spans="2:13" ht="12.75">
      <c r="B37" s="608"/>
      <c r="C37" s="233">
        <v>620</v>
      </c>
      <c r="D37" s="15" t="s">
        <v>3</v>
      </c>
      <c r="E37" s="302">
        <v>7713</v>
      </c>
      <c r="F37" s="302">
        <v>8188</v>
      </c>
      <c r="G37" s="472">
        <v>13167.56</v>
      </c>
      <c r="H37" s="164">
        <v>9410</v>
      </c>
      <c r="I37" s="397">
        <f t="shared" si="0"/>
        <v>139.93156216790646</v>
      </c>
      <c r="L37" s="497"/>
      <c r="M37" s="497"/>
    </row>
    <row r="38" spans="2:9" ht="12.75">
      <c r="B38" s="608"/>
      <c r="C38" s="233">
        <v>630</v>
      </c>
      <c r="D38" s="15" t="s">
        <v>61</v>
      </c>
      <c r="E38" s="302">
        <v>16501</v>
      </c>
      <c r="F38" s="302">
        <v>13727</v>
      </c>
      <c r="G38" s="472">
        <v>20379.17</v>
      </c>
      <c r="H38" s="164">
        <v>21550</v>
      </c>
      <c r="I38" s="397">
        <f t="shared" si="0"/>
        <v>94.56691415313225</v>
      </c>
    </row>
    <row r="39" spans="2:9" ht="13.5" thickBot="1">
      <c r="B39" s="612"/>
      <c r="C39" s="234">
        <v>640</v>
      </c>
      <c r="D39" s="151" t="s">
        <v>286</v>
      </c>
      <c r="E39" s="305"/>
      <c r="F39" s="305">
        <v>131</v>
      </c>
      <c r="G39" s="473">
        <v>2264.16</v>
      </c>
      <c r="H39" s="188"/>
      <c r="I39" s="191">
        <f t="shared" si="0"/>
        <v>0</v>
      </c>
    </row>
    <row r="40" spans="2:9" s="28" customFormat="1" ht="15.75" thickBot="1">
      <c r="B40" s="64" t="s">
        <v>17</v>
      </c>
      <c r="C40" s="606" t="s">
        <v>18</v>
      </c>
      <c r="D40" s="593"/>
      <c r="E40" s="33">
        <f>E41</f>
        <v>182</v>
      </c>
      <c r="F40" s="33">
        <f>F41</f>
        <v>104</v>
      </c>
      <c r="G40" s="389">
        <f>G41</f>
        <v>169.4</v>
      </c>
      <c r="H40" s="33">
        <f>H41</f>
        <v>200</v>
      </c>
      <c r="I40" s="366">
        <f t="shared" si="0"/>
        <v>84.7</v>
      </c>
    </row>
    <row r="41" spans="2:9" ht="13.5" thickBot="1">
      <c r="B41" s="68"/>
      <c r="C41" s="242">
        <v>640</v>
      </c>
      <c r="D41" s="11" t="s">
        <v>220</v>
      </c>
      <c r="E41" s="11">
        <v>182</v>
      </c>
      <c r="F41" s="11">
        <v>104</v>
      </c>
      <c r="G41" s="477">
        <v>169.4</v>
      </c>
      <c r="H41" s="9">
        <v>200</v>
      </c>
      <c r="I41" s="402">
        <f t="shared" si="0"/>
        <v>84.7</v>
      </c>
    </row>
    <row r="42" spans="2:9" ht="15.75" thickBot="1">
      <c r="B42" s="64" t="s">
        <v>136</v>
      </c>
      <c r="C42" s="606" t="s">
        <v>30</v>
      </c>
      <c r="D42" s="593"/>
      <c r="E42" s="58">
        <f>SUM(E43:E45)</f>
        <v>29902</v>
      </c>
      <c r="F42" s="58">
        <f>SUM(F43:F45)</f>
        <v>27922</v>
      </c>
      <c r="G42" s="475">
        <f>SUM(G43:G45)</f>
        <v>26736.059999999998</v>
      </c>
      <c r="H42" s="58">
        <f>SUM(H43:H45)</f>
        <v>28226</v>
      </c>
      <c r="I42" s="359">
        <f t="shared" si="0"/>
        <v>94.72139162474313</v>
      </c>
    </row>
    <row r="43" spans="2:9" ht="12.75">
      <c r="B43" s="607"/>
      <c r="C43" s="232">
        <v>610</v>
      </c>
      <c r="D43" s="13" t="s">
        <v>2</v>
      </c>
      <c r="E43" s="13">
        <v>19249</v>
      </c>
      <c r="F43" s="13">
        <v>18860</v>
      </c>
      <c r="G43" s="465">
        <v>17749.95</v>
      </c>
      <c r="H43" s="14">
        <v>18628</v>
      </c>
      <c r="I43" s="396">
        <f t="shared" si="0"/>
        <v>95.2863968219884</v>
      </c>
    </row>
    <row r="44" spans="2:9" ht="12.75">
      <c r="B44" s="608"/>
      <c r="C44" s="233">
        <v>620</v>
      </c>
      <c r="D44" s="15" t="s">
        <v>3</v>
      </c>
      <c r="E44" s="15">
        <v>6741</v>
      </c>
      <c r="F44" s="15">
        <v>6528</v>
      </c>
      <c r="G44" s="466">
        <v>6227.83</v>
      </c>
      <c r="H44" s="16">
        <v>6533</v>
      </c>
      <c r="I44" s="397">
        <f t="shared" si="0"/>
        <v>95.32879228532067</v>
      </c>
    </row>
    <row r="45" spans="2:9" ht="13.5" thickBot="1">
      <c r="B45" s="612"/>
      <c r="C45" s="243">
        <v>630</v>
      </c>
      <c r="D45" s="26" t="s">
        <v>61</v>
      </c>
      <c r="E45" s="26">
        <v>3912</v>
      </c>
      <c r="F45" s="26">
        <f>27588-25054</f>
        <v>2534</v>
      </c>
      <c r="G45" s="478">
        <v>2758.28</v>
      </c>
      <c r="H45" s="16">
        <v>3065</v>
      </c>
      <c r="I45" s="397">
        <f t="shared" si="0"/>
        <v>89.99282218597064</v>
      </c>
    </row>
    <row r="46" spans="2:9" s="28" customFormat="1" ht="15.75" thickBot="1">
      <c r="B46" s="64" t="s">
        <v>138</v>
      </c>
      <c r="C46" s="606" t="s">
        <v>19</v>
      </c>
      <c r="D46" s="593"/>
      <c r="E46" s="33">
        <f>SUM(E47:E50)</f>
        <v>216960</v>
      </c>
      <c r="F46" s="33">
        <f>SUM(F47:F50)</f>
        <v>236599</v>
      </c>
      <c r="G46" s="389">
        <f>SUM(G47:G50)</f>
        <v>216987.18</v>
      </c>
      <c r="H46" s="33">
        <f>SUM(H47:H50)</f>
        <v>210344</v>
      </c>
      <c r="I46" s="366">
        <f t="shared" si="0"/>
        <v>103.15824554063819</v>
      </c>
    </row>
    <row r="47" spans="2:9" s="28" customFormat="1" ht="13.5" customHeight="1">
      <c r="B47" s="613"/>
      <c r="C47" s="244">
        <v>640</v>
      </c>
      <c r="D47" s="77" t="s">
        <v>156</v>
      </c>
      <c r="E47" s="346">
        <v>150070</v>
      </c>
      <c r="F47" s="346">
        <v>167336</v>
      </c>
      <c r="G47" s="479">
        <v>148104</v>
      </c>
      <c r="H47" s="161">
        <v>148104</v>
      </c>
      <c r="I47" s="399">
        <f t="shared" si="0"/>
        <v>100</v>
      </c>
    </row>
    <row r="48" spans="2:9" s="28" customFormat="1" ht="13.5" customHeight="1">
      <c r="B48" s="614"/>
      <c r="C48" s="245">
        <v>630</v>
      </c>
      <c r="D48" s="143" t="s">
        <v>257</v>
      </c>
      <c r="E48" s="347">
        <v>2060</v>
      </c>
      <c r="F48" s="347">
        <v>1011</v>
      </c>
      <c r="G48" s="480">
        <v>1770</v>
      </c>
      <c r="H48" s="167">
        <v>4000</v>
      </c>
      <c r="I48" s="403">
        <f t="shared" si="0"/>
        <v>44.25</v>
      </c>
    </row>
    <row r="49" spans="2:9" s="28" customFormat="1" ht="13.5" customHeight="1" hidden="1">
      <c r="B49" s="614"/>
      <c r="C49" s="245">
        <v>630</v>
      </c>
      <c r="D49" s="143" t="s">
        <v>203</v>
      </c>
      <c r="E49" s="347"/>
      <c r="F49" s="449"/>
      <c r="G49" s="481"/>
      <c r="H49" s="167">
        <v>0</v>
      </c>
      <c r="I49" s="403">
        <f t="shared" si="0"/>
        <v>0</v>
      </c>
    </row>
    <row r="50" spans="2:9" ht="13.5" thickBot="1">
      <c r="B50" s="615"/>
      <c r="C50" s="238">
        <v>640</v>
      </c>
      <c r="D50" s="189" t="s">
        <v>261</v>
      </c>
      <c r="E50" s="348">
        <v>64830</v>
      </c>
      <c r="F50" s="109">
        <v>68252</v>
      </c>
      <c r="G50" s="482">
        <v>67113.18</v>
      </c>
      <c r="H50" s="261">
        <v>58240</v>
      </c>
      <c r="I50" s="404">
        <f t="shared" si="0"/>
        <v>115.23554258241757</v>
      </c>
    </row>
    <row r="51" spans="2:9" s="28" customFormat="1" ht="15.75" thickBot="1">
      <c r="B51" s="70" t="s">
        <v>20</v>
      </c>
      <c r="C51" s="627" t="s">
        <v>21</v>
      </c>
      <c r="D51" s="570"/>
      <c r="E51" s="63">
        <f>SUM(E56:E64)+E52</f>
        <v>58168</v>
      </c>
      <c r="F51" s="63">
        <f>SUM(F56:F64)+F52</f>
        <v>57293</v>
      </c>
      <c r="G51" s="483">
        <f>SUM(G56:G64)+G52</f>
        <v>53359.31</v>
      </c>
      <c r="H51" s="63">
        <f>SUM(H56:H64)+H52</f>
        <v>48835</v>
      </c>
      <c r="I51" s="368">
        <f t="shared" si="0"/>
        <v>109.26448244087233</v>
      </c>
    </row>
    <row r="52" spans="2:9" ht="13.5" thickBot="1">
      <c r="B52" s="609"/>
      <c r="C52" s="628" t="s">
        <v>209</v>
      </c>
      <c r="D52" s="629"/>
      <c r="E52" s="212">
        <f>SUM(E53:E55)</f>
        <v>23577</v>
      </c>
      <c r="F52" s="212">
        <f>SUM(F53:F55)</f>
        <v>25508</v>
      </c>
      <c r="G52" s="498">
        <f>SUM(G53:G55)</f>
        <v>26966.809999999998</v>
      </c>
      <c r="H52" s="212">
        <f>SUM(H53:H55)</f>
        <v>24175</v>
      </c>
      <c r="I52" s="405">
        <f t="shared" si="0"/>
        <v>111.54833505687694</v>
      </c>
    </row>
    <row r="53" spans="2:9" ht="12.75">
      <c r="B53" s="610"/>
      <c r="C53" s="246">
        <v>610</v>
      </c>
      <c r="D53" s="75" t="s">
        <v>2</v>
      </c>
      <c r="E53" s="75">
        <v>15432</v>
      </c>
      <c r="F53" s="75">
        <v>15427</v>
      </c>
      <c r="G53" s="447">
        <v>14767.98</v>
      </c>
      <c r="H53" s="76">
        <v>16035</v>
      </c>
      <c r="I53" s="403">
        <f t="shared" si="0"/>
        <v>92.09840972871842</v>
      </c>
    </row>
    <row r="54" spans="2:9" ht="12.75">
      <c r="B54" s="610"/>
      <c r="C54" s="246">
        <v>620</v>
      </c>
      <c r="D54" s="75" t="s">
        <v>3</v>
      </c>
      <c r="E54" s="75">
        <v>5547</v>
      </c>
      <c r="F54" s="75">
        <v>5746</v>
      </c>
      <c r="G54" s="447">
        <v>5836.68</v>
      </c>
      <c r="H54" s="76">
        <v>6070</v>
      </c>
      <c r="I54" s="403">
        <f t="shared" si="0"/>
        <v>96.15617792421747</v>
      </c>
    </row>
    <row r="55" spans="2:9" ht="13.5" thickBot="1">
      <c r="B55" s="610"/>
      <c r="C55" s="247">
        <v>630</v>
      </c>
      <c r="D55" s="7" t="s">
        <v>61</v>
      </c>
      <c r="E55" s="308">
        <v>2598</v>
      </c>
      <c r="F55" s="7">
        <v>4335</v>
      </c>
      <c r="G55" s="448">
        <v>6362.15</v>
      </c>
      <c r="H55" s="261">
        <v>2070</v>
      </c>
      <c r="I55" s="406">
        <f t="shared" si="0"/>
        <v>307.3502415458937</v>
      </c>
    </row>
    <row r="56" spans="2:9" ht="12.75">
      <c r="B56" s="610"/>
      <c r="C56" s="246">
        <v>600</v>
      </c>
      <c r="D56" s="75" t="s">
        <v>22</v>
      </c>
      <c r="E56" s="75">
        <v>6912</v>
      </c>
      <c r="F56" s="75">
        <v>9446</v>
      </c>
      <c r="G56" s="75">
        <v>4778.18</v>
      </c>
      <c r="H56" s="20">
        <v>7000</v>
      </c>
      <c r="I56" s="407">
        <f t="shared" si="0"/>
        <v>68.2597142857143</v>
      </c>
    </row>
    <row r="57" spans="2:9" ht="12.75">
      <c r="B57" s="610"/>
      <c r="C57" s="246">
        <v>600</v>
      </c>
      <c r="D57" s="75" t="s">
        <v>321</v>
      </c>
      <c r="E57" s="75"/>
      <c r="F57" s="75"/>
      <c r="G57" s="75"/>
      <c r="H57" s="76">
        <v>0</v>
      </c>
      <c r="I57" s="408">
        <f t="shared" si="0"/>
        <v>0</v>
      </c>
    </row>
    <row r="58" spans="2:9" ht="12.75">
      <c r="B58" s="610"/>
      <c r="C58" s="246">
        <v>600</v>
      </c>
      <c r="D58" s="21" t="s">
        <v>23</v>
      </c>
      <c r="E58" s="21">
        <v>1500</v>
      </c>
      <c r="F58" s="21">
        <v>370</v>
      </c>
      <c r="G58" s="21">
        <v>592.2</v>
      </c>
      <c r="H58" s="22">
        <v>1000</v>
      </c>
      <c r="I58" s="408">
        <f t="shared" si="0"/>
        <v>59.220000000000006</v>
      </c>
    </row>
    <row r="59" spans="2:9" ht="12.75">
      <c r="B59" s="610"/>
      <c r="C59" s="246">
        <v>600</v>
      </c>
      <c r="D59" s="21" t="s">
        <v>202</v>
      </c>
      <c r="E59" s="21">
        <v>2416</v>
      </c>
      <c r="F59" s="21">
        <v>4274</v>
      </c>
      <c r="G59" s="21">
        <v>2000</v>
      </c>
      <c r="H59" s="22">
        <v>2000</v>
      </c>
      <c r="I59" s="408">
        <f t="shared" si="0"/>
        <v>100</v>
      </c>
    </row>
    <row r="60" spans="2:9" ht="12.75">
      <c r="B60" s="610"/>
      <c r="C60" s="246">
        <v>600</v>
      </c>
      <c r="D60" s="21" t="s">
        <v>24</v>
      </c>
      <c r="E60" s="21">
        <v>832</v>
      </c>
      <c r="F60" s="21">
        <v>1493</v>
      </c>
      <c r="G60" s="21">
        <v>1232</v>
      </c>
      <c r="H60" s="22">
        <v>2000</v>
      </c>
      <c r="I60" s="408">
        <f t="shared" si="0"/>
        <v>61.6</v>
      </c>
    </row>
    <row r="61" spans="2:9" ht="13.5" customHeight="1">
      <c r="B61" s="610"/>
      <c r="C61" s="246">
        <v>600</v>
      </c>
      <c r="D61" s="21" t="s">
        <v>217</v>
      </c>
      <c r="E61" s="21">
        <v>11969</v>
      </c>
      <c r="F61" s="21">
        <v>11202</v>
      </c>
      <c r="G61" s="21">
        <v>15790.12</v>
      </c>
      <c r="H61" s="22">
        <v>7660</v>
      </c>
      <c r="I61" s="408">
        <f t="shared" si="0"/>
        <v>206.13733681462142</v>
      </c>
    </row>
    <row r="62" spans="2:9" ht="13.5" customHeight="1">
      <c r="B62" s="610"/>
      <c r="C62" s="246">
        <v>600</v>
      </c>
      <c r="D62" s="21" t="s">
        <v>264</v>
      </c>
      <c r="E62" s="21"/>
      <c r="F62" s="21">
        <v>5000</v>
      </c>
      <c r="G62" s="21"/>
      <c r="H62" s="22"/>
      <c r="I62" s="409">
        <f t="shared" si="0"/>
        <v>0</v>
      </c>
    </row>
    <row r="63" spans="2:9" ht="12.75">
      <c r="B63" s="610"/>
      <c r="C63" s="246">
        <v>600</v>
      </c>
      <c r="D63" s="157" t="s">
        <v>265</v>
      </c>
      <c r="E63" s="21">
        <v>4512</v>
      </c>
      <c r="F63" s="21"/>
      <c r="G63" s="75"/>
      <c r="H63" s="76"/>
      <c r="I63" s="409">
        <f t="shared" si="0"/>
        <v>0</v>
      </c>
    </row>
    <row r="64" spans="2:9" ht="13.5" thickBot="1">
      <c r="B64" s="611"/>
      <c r="C64" s="248">
        <v>600</v>
      </c>
      <c r="D64" s="17" t="s">
        <v>342</v>
      </c>
      <c r="E64" s="109">
        <v>6450</v>
      </c>
      <c r="F64" s="109"/>
      <c r="G64" s="109">
        <v>2000</v>
      </c>
      <c r="H64" s="101">
        <v>5000</v>
      </c>
      <c r="I64" s="410">
        <f t="shared" si="0"/>
        <v>40</v>
      </c>
    </row>
    <row r="65" spans="2:9" s="28" customFormat="1" ht="15.75" thickBot="1">
      <c r="B65" s="64" t="s">
        <v>25</v>
      </c>
      <c r="C65" s="606" t="s">
        <v>26</v>
      </c>
      <c r="D65" s="593"/>
      <c r="E65" s="349">
        <v>33352</v>
      </c>
      <c r="F65" s="317">
        <v>37492</v>
      </c>
      <c r="G65" s="317">
        <v>38137.74</v>
      </c>
      <c r="H65" s="162">
        <v>23680</v>
      </c>
      <c r="I65" s="366">
        <f t="shared" si="0"/>
        <v>161.05464527027027</v>
      </c>
    </row>
    <row r="66" spans="2:9" ht="15.75" hidden="1" thickBot="1">
      <c r="B66" s="609"/>
      <c r="C66" s="249" t="s">
        <v>68</v>
      </c>
      <c r="D66" s="19" t="s">
        <v>181</v>
      </c>
      <c r="E66" s="297"/>
      <c r="F66" s="297"/>
      <c r="G66" s="297"/>
      <c r="H66" s="167"/>
      <c r="I66" s="403">
        <f t="shared" si="0"/>
        <v>0</v>
      </c>
    </row>
    <row r="67" spans="2:9" ht="15.75" hidden="1" thickBot="1">
      <c r="B67" s="610"/>
      <c r="C67" s="250" t="s">
        <v>68</v>
      </c>
      <c r="D67" s="21" t="s">
        <v>182</v>
      </c>
      <c r="E67" s="297"/>
      <c r="F67" s="297"/>
      <c r="G67" s="297"/>
      <c r="H67" s="168"/>
      <c r="I67" s="400">
        <f t="shared" si="0"/>
        <v>0</v>
      </c>
    </row>
    <row r="68" spans="1:9" ht="15.75" hidden="1" thickBot="1">
      <c r="A68" s="287"/>
      <c r="B68" s="611"/>
      <c r="C68" s="234">
        <v>600</v>
      </c>
      <c r="D68" s="17" t="s">
        <v>183</v>
      </c>
      <c r="E68" s="297"/>
      <c r="F68" s="297"/>
      <c r="G68" s="297"/>
      <c r="H68" s="166"/>
      <c r="I68" s="411">
        <f t="shared" si="0"/>
        <v>0</v>
      </c>
    </row>
    <row r="69" spans="1:9" s="28" customFormat="1" ht="18" customHeight="1" thickBot="1">
      <c r="A69" s="114"/>
      <c r="B69" s="70" t="s">
        <v>27</v>
      </c>
      <c r="C69" s="625" t="s">
        <v>324</v>
      </c>
      <c r="D69" s="626"/>
      <c r="E69" s="63">
        <f>SUM(E70:E72)</f>
        <v>454364</v>
      </c>
      <c r="F69" s="33">
        <f>SUM(F70:F72)</f>
        <v>445324</v>
      </c>
      <c r="G69" s="389">
        <f>SUM(G70:G72)</f>
        <v>440667.17</v>
      </c>
      <c r="H69" s="63">
        <f>SUM(H70:H72)</f>
        <v>440673</v>
      </c>
      <c r="I69" s="368">
        <f t="shared" si="0"/>
        <v>99.9986770235526</v>
      </c>
    </row>
    <row r="70" spans="1:9" s="28" customFormat="1" ht="15" customHeight="1" hidden="1">
      <c r="A70" s="114"/>
      <c r="B70" s="613"/>
      <c r="C70" s="235">
        <v>650</v>
      </c>
      <c r="D70" s="127" t="s">
        <v>203</v>
      </c>
      <c r="E70" s="350"/>
      <c r="F70" s="451"/>
      <c r="G70" s="310"/>
      <c r="H70" s="167"/>
      <c r="I70" s="403">
        <f aca="true" t="shared" si="1" ref="I70:I140">IF(H70=0,0,G70/H70)*100</f>
        <v>0</v>
      </c>
    </row>
    <row r="71" spans="2:9" ht="15" customHeight="1">
      <c r="B71" s="614"/>
      <c r="C71" s="250" t="s">
        <v>236</v>
      </c>
      <c r="D71" s="128" t="s">
        <v>237</v>
      </c>
      <c r="E71" s="351">
        <v>3974</v>
      </c>
      <c r="F71" s="452">
        <v>3974</v>
      </c>
      <c r="G71" s="318">
        <v>3974.17</v>
      </c>
      <c r="H71" s="168">
        <v>3980</v>
      </c>
      <c r="I71" s="400">
        <f t="shared" si="1"/>
        <v>99.8535175879397</v>
      </c>
    </row>
    <row r="72" spans="2:9" ht="15.75" customHeight="1" thickBot="1">
      <c r="B72" s="615"/>
      <c r="C72" s="237">
        <v>640</v>
      </c>
      <c r="D72" s="129" t="s">
        <v>226</v>
      </c>
      <c r="E72" s="352">
        <v>450390</v>
      </c>
      <c r="F72" s="453">
        <v>441350</v>
      </c>
      <c r="G72" s="499">
        <v>436693</v>
      </c>
      <c r="H72" s="264">
        <v>436693</v>
      </c>
      <c r="I72" s="406">
        <f t="shared" si="1"/>
        <v>100</v>
      </c>
    </row>
    <row r="73" spans="2:9" ht="15.75" customHeight="1" hidden="1" thickBot="1">
      <c r="B73" s="80" t="s">
        <v>306</v>
      </c>
      <c r="C73" s="639" t="s">
        <v>307</v>
      </c>
      <c r="D73" s="640"/>
      <c r="E73" s="219">
        <f>E74</f>
        <v>0</v>
      </c>
      <c r="F73" s="219">
        <f>F74</f>
        <v>0</v>
      </c>
      <c r="G73" s="450"/>
      <c r="H73" s="219">
        <f>H74</f>
        <v>0</v>
      </c>
      <c r="I73" s="412">
        <f t="shared" si="1"/>
        <v>0</v>
      </c>
    </row>
    <row r="74" spans="2:9" ht="15.75" customHeight="1" hidden="1" thickBot="1">
      <c r="B74" s="201"/>
      <c r="C74" s="247">
        <v>630</v>
      </c>
      <c r="D74" s="202" t="s">
        <v>308</v>
      </c>
      <c r="E74" s="319"/>
      <c r="F74" s="319"/>
      <c r="G74" s="443"/>
      <c r="H74" s="261">
        <v>0</v>
      </c>
      <c r="I74" s="404">
        <f t="shared" si="1"/>
        <v>0</v>
      </c>
    </row>
    <row r="75" spans="2:9" ht="15.75" thickBot="1">
      <c r="B75" s="70" t="s">
        <v>29</v>
      </c>
      <c r="C75" s="625" t="s">
        <v>31</v>
      </c>
      <c r="D75" s="626"/>
      <c r="E75" s="63">
        <f>SUM(E76:E79)</f>
        <v>64721</v>
      </c>
      <c r="F75" s="63">
        <f>SUM(F76:F79)</f>
        <v>10450</v>
      </c>
      <c r="G75" s="483">
        <f>SUM(G76:G79)</f>
        <v>10682.39</v>
      </c>
      <c r="H75" s="63">
        <f>SUM(H76:H79)</f>
        <v>10917</v>
      </c>
      <c r="I75" s="368">
        <f t="shared" si="1"/>
        <v>97.85096638270586</v>
      </c>
    </row>
    <row r="76" spans="2:9" ht="12.75">
      <c r="B76" s="609"/>
      <c r="C76" s="232">
        <v>610</v>
      </c>
      <c r="D76" s="13" t="s">
        <v>2</v>
      </c>
      <c r="E76" s="13">
        <v>7062</v>
      </c>
      <c r="F76" s="13">
        <v>6902</v>
      </c>
      <c r="G76" s="13">
        <v>7013.99</v>
      </c>
      <c r="H76" s="14">
        <v>6906</v>
      </c>
      <c r="I76" s="396">
        <f t="shared" si="1"/>
        <v>101.5637127135824</v>
      </c>
    </row>
    <row r="77" spans="2:9" ht="12.75">
      <c r="B77" s="610"/>
      <c r="C77" s="233">
        <v>620</v>
      </c>
      <c r="D77" s="15" t="s">
        <v>3</v>
      </c>
      <c r="E77" s="15">
        <v>2706</v>
      </c>
      <c r="F77" s="15">
        <v>2594</v>
      </c>
      <c r="G77" s="15">
        <v>2904.51</v>
      </c>
      <c r="H77" s="16">
        <v>2630</v>
      </c>
      <c r="I77" s="397">
        <f t="shared" si="1"/>
        <v>110.43764258555133</v>
      </c>
    </row>
    <row r="78" spans="2:9" ht="12.75">
      <c r="B78" s="610"/>
      <c r="C78" s="233">
        <v>630</v>
      </c>
      <c r="D78" s="15" t="s">
        <v>61</v>
      </c>
      <c r="E78" s="15">
        <v>1574</v>
      </c>
      <c r="F78" s="15">
        <v>954</v>
      </c>
      <c r="G78" s="15">
        <v>763.89</v>
      </c>
      <c r="H78" s="16">
        <v>1381</v>
      </c>
      <c r="I78" s="397">
        <f t="shared" si="1"/>
        <v>55.31426502534396</v>
      </c>
    </row>
    <row r="79" spans="2:9" ht="13.5" thickBot="1">
      <c r="B79" s="611"/>
      <c r="C79" s="234">
        <v>600</v>
      </c>
      <c r="D79" s="25" t="s">
        <v>255</v>
      </c>
      <c r="E79" s="25">
        <v>53379</v>
      </c>
      <c r="F79" s="25"/>
      <c r="G79" s="25"/>
      <c r="H79" s="18">
        <v>0</v>
      </c>
      <c r="I79" s="398">
        <f t="shared" si="1"/>
        <v>0</v>
      </c>
    </row>
    <row r="80" spans="2:9" ht="15.75" thickBot="1">
      <c r="B80" s="70" t="s">
        <v>32</v>
      </c>
      <c r="C80" s="625" t="s">
        <v>33</v>
      </c>
      <c r="D80" s="626"/>
      <c r="E80" s="63">
        <f>SUM(E81:E83)</f>
        <v>13755</v>
      </c>
      <c r="F80" s="63">
        <f>SUM(F81:F83)</f>
        <v>12987</v>
      </c>
      <c r="G80" s="483">
        <f>SUM(G81:G83)</f>
        <v>12440.38</v>
      </c>
      <c r="H80" s="63">
        <f>SUM(H81:H83)</f>
        <v>13017</v>
      </c>
      <c r="I80" s="368">
        <f t="shared" si="1"/>
        <v>95.57025428286087</v>
      </c>
    </row>
    <row r="81" spans="2:9" ht="12.75">
      <c r="B81" s="609"/>
      <c r="C81" s="232">
        <v>610</v>
      </c>
      <c r="D81" s="13" t="s">
        <v>2</v>
      </c>
      <c r="E81" s="13">
        <v>8900</v>
      </c>
      <c r="F81" s="13">
        <v>8730</v>
      </c>
      <c r="G81" s="470">
        <v>8356.07</v>
      </c>
      <c r="H81" s="14">
        <v>8730</v>
      </c>
      <c r="I81" s="396">
        <f t="shared" si="1"/>
        <v>95.71672394043527</v>
      </c>
    </row>
    <row r="82" spans="2:9" ht="12.75">
      <c r="B82" s="610"/>
      <c r="C82" s="233">
        <v>620</v>
      </c>
      <c r="D82" s="15" t="s">
        <v>3</v>
      </c>
      <c r="E82" s="15">
        <v>3393</v>
      </c>
      <c r="F82" s="15">
        <v>3330</v>
      </c>
      <c r="G82" s="471">
        <v>3406.87</v>
      </c>
      <c r="H82" s="16">
        <v>3303</v>
      </c>
      <c r="I82" s="397">
        <f t="shared" si="1"/>
        <v>103.14471692400848</v>
      </c>
    </row>
    <row r="83" spans="2:9" ht="13.5" thickBot="1">
      <c r="B83" s="611"/>
      <c r="C83" s="234">
        <v>630</v>
      </c>
      <c r="D83" s="17" t="s">
        <v>61</v>
      </c>
      <c r="E83" s="26">
        <v>1462</v>
      </c>
      <c r="F83" s="26">
        <v>927</v>
      </c>
      <c r="G83" s="484">
        <v>677.44</v>
      </c>
      <c r="H83" s="27">
        <v>984</v>
      </c>
      <c r="I83" s="411">
        <f t="shared" si="1"/>
        <v>68.84552845528455</v>
      </c>
    </row>
    <row r="84" spans="2:9" ht="15.75" thickBot="1">
      <c r="B84" s="70" t="s">
        <v>157</v>
      </c>
      <c r="C84" s="627" t="s">
        <v>158</v>
      </c>
      <c r="D84" s="570"/>
      <c r="E84" s="33">
        <f>SUM(E85:E100)</f>
        <v>355838</v>
      </c>
      <c r="F84" s="33">
        <f>SUM(F85:F100)</f>
        <v>219663</v>
      </c>
      <c r="G84" s="389">
        <f>440467.09+45034</f>
        <v>485501.09</v>
      </c>
      <c r="H84" s="33">
        <v>482325</v>
      </c>
      <c r="I84" s="366">
        <f t="shared" si="1"/>
        <v>100.65849582750221</v>
      </c>
    </row>
    <row r="85" spans="2:9" ht="12.75">
      <c r="B85" s="608"/>
      <c r="C85" s="233">
        <v>630</v>
      </c>
      <c r="D85" s="15" t="s">
        <v>246</v>
      </c>
      <c r="E85" s="311">
        <v>116166</v>
      </c>
      <c r="F85" s="171"/>
      <c r="G85" s="486">
        <v>164829</v>
      </c>
      <c r="H85" s="171">
        <v>164829</v>
      </c>
      <c r="I85" s="413">
        <f t="shared" si="1"/>
        <v>100</v>
      </c>
    </row>
    <row r="86" spans="2:9" ht="12.75">
      <c r="B86" s="608"/>
      <c r="C86" s="243">
        <v>630</v>
      </c>
      <c r="D86" s="26" t="s">
        <v>348</v>
      </c>
      <c r="E86" s="302"/>
      <c r="F86" s="164"/>
      <c r="G86" s="471">
        <f>3560.88+6135.66</f>
        <v>9696.54</v>
      </c>
      <c r="H86" s="171">
        <v>9697</v>
      </c>
      <c r="I86" s="397">
        <f t="shared" si="1"/>
        <v>99.99525626482418</v>
      </c>
    </row>
    <row r="87" spans="2:9" ht="12.75">
      <c r="B87" s="608"/>
      <c r="C87" s="243">
        <v>630</v>
      </c>
      <c r="D87" s="26" t="s">
        <v>374</v>
      </c>
      <c r="E87" s="302"/>
      <c r="F87" s="164"/>
      <c r="G87" s="471">
        <v>9955.3</v>
      </c>
      <c r="H87" s="171">
        <v>9873</v>
      </c>
      <c r="I87" s="397">
        <f t="shared" si="1"/>
        <v>100.83358654917451</v>
      </c>
    </row>
    <row r="88" spans="2:9" ht="12.75">
      <c r="B88" s="608"/>
      <c r="C88" s="243">
        <v>630</v>
      </c>
      <c r="D88" s="26" t="s">
        <v>375</v>
      </c>
      <c r="E88" s="302"/>
      <c r="F88" s="164"/>
      <c r="G88" s="471">
        <v>11550</v>
      </c>
      <c r="H88" s="171">
        <v>11550</v>
      </c>
      <c r="I88" s="397">
        <f t="shared" si="1"/>
        <v>100</v>
      </c>
    </row>
    <row r="89" spans="2:9" ht="12.75">
      <c r="B89" s="608"/>
      <c r="C89" s="243">
        <v>630</v>
      </c>
      <c r="D89" s="26" t="s">
        <v>376</v>
      </c>
      <c r="E89" s="302"/>
      <c r="F89" s="164"/>
      <c r="G89" s="471">
        <v>11848</v>
      </c>
      <c r="H89" s="171">
        <v>12448</v>
      </c>
      <c r="I89" s="397">
        <f t="shared" si="1"/>
        <v>95.17994858611826</v>
      </c>
    </row>
    <row r="90" spans="2:9" ht="12.75">
      <c r="B90" s="608"/>
      <c r="C90" s="243">
        <v>630</v>
      </c>
      <c r="D90" s="62" t="s">
        <v>278</v>
      </c>
      <c r="E90" s="132">
        <v>19980</v>
      </c>
      <c r="F90" s="175"/>
      <c r="G90" s="512"/>
      <c r="H90" s="164">
        <v>0</v>
      </c>
      <c r="I90" s="397">
        <f t="shared" si="1"/>
        <v>0</v>
      </c>
    </row>
    <row r="91" spans="2:9" ht="12.75">
      <c r="B91" s="608"/>
      <c r="C91" s="243">
        <v>630</v>
      </c>
      <c r="D91" s="62" t="s">
        <v>373</v>
      </c>
      <c r="E91" s="132"/>
      <c r="F91" s="175"/>
      <c r="G91" s="512">
        <f>27843.6+27890.27</f>
        <v>55733.869999999995</v>
      </c>
      <c r="H91" s="164">
        <v>47516</v>
      </c>
      <c r="I91" s="397">
        <f t="shared" si="1"/>
        <v>117.29495327889552</v>
      </c>
    </row>
    <row r="92" spans="2:9" ht="12.75">
      <c r="B92" s="608"/>
      <c r="C92" s="243">
        <v>630</v>
      </c>
      <c r="D92" s="62" t="s">
        <v>387</v>
      </c>
      <c r="E92" s="132"/>
      <c r="F92" s="175"/>
      <c r="G92" s="512">
        <v>41848</v>
      </c>
      <c r="H92" s="164">
        <v>41848</v>
      </c>
      <c r="I92" s="397">
        <f t="shared" si="1"/>
        <v>100</v>
      </c>
    </row>
    <row r="93" spans="2:9" ht="12.75">
      <c r="B93" s="608"/>
      <c r="C93" s="243">
        <v>630</v>
      </c>
      <c r="D93" s="15" t="s">
        <v>280</v>
      </c>
      <c r="E93" s="302">
        <v>46200</v>
      </c>
      <c r="F93" s="164"/>
      <c r="G93" s="472"/>
      <c r="H93" s="164"/>
      <c r="I93" s="397">
        <f t="shared" si="1"/>
        <v>0</v>
      </c>
    </row>
    <row r="94" spans="2:9" ht="12.75" customHeight="1" hidden="1">
      <c r="B94" s="608"/>
      <c r="C94" s="243">
        <v>630</v>
      </c>
      <c r="D94" s="15" t="s">
        <v>258</v>
      </c>
      <c r="E94" s="302"/>
      <c r="F94" s="164"/>
      <c r="G94" s="472"/>
      <c r="H94" s="164"/>
      <c r="I94" s="397">
        <f t="shared" si="1"/>
        <v>0</v>
      </c>
    </row>
    <row r="95" spans="2:11" ht="12.75">
      <c r="B95" s="608"/>
      <c r="C95" s="243">
        <v>630</v>
      </c>
      <c r="D95" s="15" t="s">
        <v>235</v>
      </c>
      <c r="E95" s="302">
        <v>1200</v>
      </c>
      <c r="F95" s="164">
        <f>25728+5970+25054</f>
        <v>56752</v>
      </c>
      <c r="G95" s="472"/>
      <c r="H95" s="457"/>
      <c r="I95" s="397">
        <f t="shared" si="1"/>
        <v>0</v>
      </c>
      <c r="K95" s="497"/>
    </row>
    <row r="96" spans="2:9" ht="12.75">
      <c r="B96" s="608"/>
      <c r="C96" s="243">
        <v>630</v>
      </c>
      <c r="D96" s="15" t="s">
        <v>325</v>
      </c>
      <c r="E96" s="302">
        <v>22691</v>
      </c>
      <c r="F96" s="164">
        <v>859</v>
      </c>
      <c r="G96" s="472"/>
      <c r="H96" s="457"/>
      <c r="I96" s="397">
        <f t="shared" si="1"/>
        <v>0</v>
      </c>
    </row>
    <row r="97" spans="2:11" ht="13.5" customHeight="1">
      <c r="B97" s="608"/>
      <c r="C97" s="243">
        <v>630</v>
      </c>
      <c r="D97" s="15" t="s">
        <v>234</v>
      </c>
      <c r="E97" s="302"/>
      <c r="F97" s="164"/>
      <c r="G97" s="472">
        <v>931.15</v>
      </c>
      <c r="H97" s="164">
        <v>8000</v>
      </c>
      <c r="I97" s="397">
        <f t="shared" si="1"/>
        <v>11.639375</v>
      </c>
      <c r="K97" s="497"/>
    </row>
    <row r="98" spans="2:9" ht="13.5" customHeight="1">
      <c r="B98" s="608"/>
      <c r="C98" s="243">
        <v>630</v>
      </c>
      <c r="D98" s="26" t="s">
        <v>312</v>
      </c>
      <c r="E98" s="26">
        <v>0</v>
      </c>
      <c r="F98" s="27"/>
      <c r="G98" s="484"/>
      <c r="H98" s="27"/>
      <c r="I98" s="397">
        <f t="shared" si="1"/>
        <v>0</v>
      </c>
    </row>
    <row r="99" spans="2:11" ht="12.75">
      <c r="B99" s="608"/>
      <c r="C99" s="243">
        <v>630</v>
      </c>
      <c r="D99" s="26" t="s">
        <v>239</v>
      </c>
      <c r="E99" s="309">
        <v>3148</v>
      </c>
      <c r="F99" s="27">
        <f>2890+1395+2974+8613+1646</f>
        <v>17518</v>
      </c>
      <c r="G99" s="487">
        <v>34575.23</v>
      </c>
      <c r="H99" s="166">
        <v>32030</v>
      </c>
      <c r="I99" s="411">
        <f t="shared" si="1"/>
        <v>107.94639400561974</v>
      </c>
      <c r="K99" s="497"/>
    </row>
    <row r="100" spans="2:11" ht="13.5" thickBot="1">
      <c r="B100" s="612"/>
      <c r="C100" s="234">
        <v>640</v>
      </c>
      <c r="D100" s="17" t="s">
        <v>159</v>
      </c>
      <c r="E100" s="17">
        <v>146453</v>
      </c>
      <c r="F100" s="18">
        <v>144534</v>
      </c>
      <c r="G100" s="484">
        <f>99500+45034</f>
        <v>144534</v>
      </c>
      <c r="H100" s="27">
        <v>144534</v>
      </c>
      <c r="I100" s="411">
        <f t="shared" si="1"/>
        <v>100</v>
      </c>
      <c r="K100" s="205"/>
    </row>
    <row r="101" spans="2:9" ht="15.75" thickBot="1">
      <c r="B101" s="70" t="s">
        <v>34</v>
      </c>
      <c r="C101" s="627" t="s">
        <v>35</v>
      </c>
      <c r="D101" s="570"/>
      <c r="E101" s="33">
        <f>E102</f>
        <v>5609</v>
      </c>
      <c r="F101" s="33">
        <f>F102</f>
        <v>6003</v>
      </c>
      <c r="G101" s="389">
        <f>G102</f>
        <v>3745.53</v>
      </c>
      <c r="H101" s="33">
        <f>H102</f>
        <v>6000</v>
      </c>
      <c r="I101" s="366">
        <f t="shared" si="1"/>
        <v>62.4255</v>
      </c>
    </row>
    <row r="102" spans="2:9" ht="13.5" thickBot="1">
      <c r="B102" s="69"/>
      <c r="C102" s="251"/>
      <c r="D102" s="8" t="s">
        <v>230</v>
      </c>
      <c r="E102" s="312">
        <v>5609</v>
      </c>
      <c r="F102" s="312">
        <v>6003</v>
      </c>
      <c r="G102" s="485">
        <v>3745.53</v>
      </c>
      <c r="H102" s="165">
        <v>6000</v>
      </c>
      <c r="I102" s="402">
        <f t="shared" si="1"/>
        <v>62.4255</v>
      </c>
    </row>
    <row r="103" spans="2:9" ht="15.75" thickBot="1">
      <c r="B103" s="70" t="s">
        <v>142</v>
      </c>
      <c r="C103" s="627" t="s">
        <v>143</v>
      </c>
      <c r="D103" s="570"/>
      <c r="E103" s="63">
        <f>E104</f>
        <v>168880</v>
      </c>
      <c r="F103" s="63">
        <f>F104</f>
        <v>168880</v>
      </c>
      <c r="G103" s="483">
        <f>G104</f>
        <v>166668</v>
      </c>
      <c r="H103" s="63">
        <f>H104</f>
        <v>166668</v>
      </c>
      <c r="I103" s="368">
        <f t="shared" si="1"/>
        <v>100</v>
      </c>
    </row>
    <row r="104" spans="2:9" ht="13.5" thickBot="1">
      <c r="B104" s="69"/>
      <c r="C104" s="251">
        <v>640</v>
      </c>
      <c r="D104" s="8" t="s">
        <v>160</v>
      </c>
      <c r="E104" s="312">
        <v>168880</v>
      </c>
      <c r="F104" s="312">
        <v>168880</v>
      </c>
      <c r="G104" s="485">
        <v>166668</v>
      </c>
      <c r="H104" s="165">
        <v>166668</v>
      </c>
      <c r="I104" s="402">
        <f t="shared" si="1"/>
        <v>100</v>
      </c>
    </row>
    <row r="105" spans="2:9" ht="15.75" thickBot="1">
      <c r="B105" s="70" t="s">
        <v>144</v>
      </c>
      <c r="C105" s="627" t="s">
        <v>145</v>
      </c>
      <c r="D105" s="570"/>
      <c r="E105" s="63">
        <f>SUM(E106:E110)</f>
        <v>347786</v>
      </c>
      <c r="F105" s="63">
        <f>SUM(F106:F110)</f>
        <v>268221</v>
      </c>
      <c r="G105" s="483">
        <f>SUM(G106:G110)</f>
        <v>263798.23</v>
      </c>
      <c r="H105" s="63">
        <f>SUM(H106:H110)</f>
        <v>309829</v>
      </c>
      <c r="I105" s="368">
        <f t="shared" si="1"/>
        <v>85.143169296612</v>
      </c>
    </row>
    <row r="106" spans="2:9" ht="12.75">
      <c r="B106" s="613"/>
      <c r="C106" s="232">
        <v>610</v>
      </c>
      <c r="D106" s="13" t="s">
        <v>2</v>
      </c>
      <c r="E106" s="13">
        <v>24997</v>
      </c>
      <c r="F106" s="13">
        <v>24062</v>
      </c>
      <c r="G106" s="13">
        <v>22719.55</v>
      </c>
      <c r="H106" s="20">
        <v>24120</v>
      </c>
      <c r="I106" s="399">
        <f t="shared" si="1"/>
        <v>94.19382255389718</v>
      </c>
    </row>
    <row r="107" spans="2:9" ht="12.75">
      <c r="B107" s="614"/>
      <c r="C107" s="233">
        <v>620</v>
      </c>
      <c r="D107" s="15" t="s">
        <v>3</v>
      </c>
      <c r="E107" s="15">
        <v>9316</v>
      </c>
      <c r="F107" s="15">
        <v>8959</v>
      </c>
      <c r="G107" s="15">
        <v>9337.62</v>
      </c>
      <c r="H107" s="22">
        <v>8860</v>
      </c>
      <c r="I107" s="400">
        <f t="shared" si="1"/>
        <v>105.39074492099323</v>
      </c>
    </row>
    <row r="108" spans="2:9" ht="12.75">
      <c r="B108" s="614"/>
      <c r="C108" s="233">
        <v>630</v>
      </c>
      <c r="D108" s="15" t="s">
        <v>61</v>
      </c>
      <c r="E108" s="15">
        <v>291329</v>
      </c>
      <c r="F108" s="15">
        <f>212898</f>
        <v>212898</v>
      </c>
      <c r="G108" s="15">
        <v>204427.59</v>
      </c>
      <c r="H108" s="22">
        <v>249705</v>
      </c>
      <c r="I108" s="400">
        <f t="shared" si="1"/>
        <v>81.86763981498167</v>
      </c>
    </row>
    <row r="109" spans="2:9" ht="12.75">
      <c r="B109" s="614"/>
      <c r="C109" s="271">
        <v>640</v>
      </c>
      <c r="D109" s="24" t="s">
        <v>286</v>
      </c>
      <c r="E109" s="302"/>
      <c r="F109" s="302">
        <v>158</v>
      </c>
      <c r="G109" s="302">
        <v>169.47</v>
      </c>
      <c r="H109" s="168"/>
      <c r="I109" s="400">
        <f t="shared" si="1"/>
        <v>0</v>
      </c>
    </row>
    <row r="110" spans="2:9" ht="13.5" thickBot="1">
      <c r="B110" s="615"/>
      <c r="C110" s="238">
        <v>640</v>
      </c>
      <c r="D110" s="109" t="s">
        <v>160</v>
      </c>
      <c r="E110" s="432">
        <v>22144</v>
      </c>
      <c r="F110" s="432">
        <v>22144</v>
      </c>
      <c r="G110" s="432">
        <v>27144</v>
      </c>
      <c r="H110" s="265">
        <v>27144</v>
      </c>
      <c r="I110" s="417">
        <f t="shared" si="1"/>
        <v>100</v>
      </c>
    </row>
    <row r="111" spans="2:9" ht="15.75" thickBot="1">
      <c r="B111" s="70" t="s">
        <v>36</v>
      </c>
      <c r="C111" s="627" t="s">
        <v>213</v>
      </c>
      <c r="D111" s="570"/>
      <c r="E111" s="63">
        <f>SUM(E112:E113)</f>
        <v>162661</v>
      </c>
      <c r="F111" s="63">
        <f>SUM(F112:F113)</f>
        <v>165913</v>
      </c>
      <c r="G111" s="483">
        <f>SUM(G112:G113)</f>
        <v>173111</v>
      </c>
      <c r="H111" s="63">
        <f>SUM(H112:H113)</f>
        <v>170713</v>
      </c>
      <c r="I111" s="368">
        <f t="shared" si="1"/>
        <v>101.40469677177487</v>
      </c>
    </row>
    <row r="112" spans="2:9" ht="12.75">
      <c r="B112" s="609"/>
      <c r="C112" s="252"/>
      <c r="D112" s="13" t="s">
        <v>262</v>
      </c>
      <c r="E112" s="311">
        <v>118262</v>
      </c>
      <c r="F112" s="311">
        <v>116713</v>
      </c>
      <c r="G112" s="486">
        <v>116713</v>
      </c>
      <c r="H112" s="171">
        <v>116713</v>
      </c>
      <c r="I112" s="413">
        <f t="shared" si="1"/>
        <v>100</v>
      </c>
    </row>
    <row r="113" spans="2:9" ht="13.5" thickBot="1">
      <c r="B113" s="611"/>
      <c r="C113" s="288"/>
      <c r="D113" s="17" t="s">
        <v>221</v>
      </c>
      <c r="E113" s="309">
        <v>44399</v>
      </c>
      <c r="F113" s="309">
        <v>49200</v>
      </c>
      <c r="G113" s="487">
        <v>56398</v>
      </c>
      <c r="H113" s="166">
        <v>54000</v>
      </c>
      <c r="I113" s="411">
        <f t="shared" si="1"/>
        <v>104.44074074074075</v>
      </c>
    </row>
    <row r="114" spans="2:9" ht="15.75" thickBot="1">
      <c r="B114" s="64" t="s">
        <v>37</v>
      </c>
      <c r="C114" s="606" t="s">
        <v>38</v>
      </c>
      <c r="D114" s="593"/>
      <c r="E114" s="33">
        <f>SUM(E115:E123)</f>
        <v>332348</v>
      </c>
      <c r="F114" s="33">
        <f>SUM(F115:F123)</f>
        <v>315787</v>
      </c>
      <c r="G114" s="389">
        <f>303753.72+G115</f>
        <v>311192.31999999995</v>
      </c>
      <c r="H114" s="33">
        <f>SUM(H115:H123)</f>
        <v>323912</v>
      </c>
      <c r="I114" s="366">
        <f t="shared" si="1"/>
        <v>96.07310627577858</v>
      </c>
    </row>
    <row r="115" spans="2:9" ht="12.75">
      <c r="B115" s="609"/>
      <c r="C115" s="253"/>
      <c r="D115" s="23" t="s">
        <v>39</v>
      </c>
      <c r="E115" s="24">
        <v>7114</v>
      </c>
      <c r="F115" s="13">
        <f>1355+1143+4615</f>
        <v>7113</v>
      </c>
      <c r="G115" s="313">
        <v>7438.6</v>
      </c>
      <c r="H115" s="163">
        <v>7000</v>
      </c>
      <c r="I115" s="396">
        <f t="shared" si="1"/>
        <v>106.2657142857143</v>
      </c>
    </row>
    <row r="116" spans="2:9" ht="12.75">
      <c r="B116" s="610"/>
      <c r="C116" s="254"/>
      <c r="D116" s="24" t="s">
        <v>229</v>
      </c>
      <c r="E116" s="24"/>
      <c r="F116" s="32"/>
      <c r="G116" s="314"/>
      <c r="H116" s="171">
        <v>0</v>
      </c>
      <c r="I116" s="413">
        <f t="shared" si="1"/>
        <v>0</v>
      </c>
    </row>
    <row r="117" spans="2:9" ht="12.75">
      <c r="B117" s="610"/>
      <c r="C117" s="254"/>
      <c r="D117" s="24" t="s">
        <v>250</v>
      </c>
      <c r="E117" s="24">
        <v>10566</v>
      </c>
      <c r="F117" s="32">
        <v>3350</v>
      </c>
      <c r="G117" s="314">
        <v>4052</v>
      </c>
      <c r="H117" s="171"/>
      <c r="I117" s="413">
        <f t="shared" si="1"/>
        <v>0</v>
      </c>
    </row>
    <row r="118" spans="2:9" ht="12.75">
      <c r="B118" s="610"/>
      <c r="C118" s="254"/>
      <c r="D118" s="24" t="s">
        <v>335</v>
      </c>
      <c r="E118" s="24"/>
      <c r="F118" s="32"/>
      <c r="G118" s="314"/>
      <c r="H118" s="171"/>
      <c r="I118" s="413">
        <f t="shared" si="1"/>
        <v>0</v>
      </c>
    </row>
    <row r="119" spans="2:9" ht="12.75">
      <c r="B119" s="610"/>
      <c r="C119" s="255"/>
      <c r="D119" s="24" t="s">
        <v>260</v>
      </c>
      <c r="E119" s="24">
        <v>11060</v>
      </c>
      <c r="F119" s="15">
        <v>9650</v>
      </c>
      <c r="G119" s="303">
        <v>9100</v>
      </c>
      <c r="H119" s="164">
        <v>10000</v>
      </c>
      <c r="I119" s="397">
        <f t="shared" si="1"/>
        <v>91</v>
      </c>
    </row>
    <row r="120" spans="2:9" ht="12.75">
      <c r="B120" s="610"/>
      <c r="C120" s="255"/>
      <c r="D120" s="24" t="s">
        <v>210</v>
      </c>
      <c r="E120" s="24">
        <v>162681</v>
      </c>
      <c r="F120" s="15">
        <v>150333</v>
      </c>
      <c r="G120" s="24">
        <v>119218</v>
      </c>
      <c r="H120" s="16">
        <v>134218</v>
      </c>
      <c r="I120" s="397">
        <f t="shared" si="1"/>
        <v>88.82415175311806</v>
      </c>
    </row>
    <row r="121" spans="2:9" ht="12.75">
      <c r="B121" s="610"/>
      <c r="C121" s="255"/>
      <c r="D121" s="24" t="s">
        <v>211</v>
      </c>
      <c r="E121" s="24">
        <v>82311</v>
      </c>
      <c r="F121" s="15">
        <v>93232</v>
      </c>
      <c r="G121" s="24">
        <v>109100</v>
      </c>
      <c r="H121" s="16">
        <v>109100</v>
      </c>
      <c r="I121" s="397">
        <f t="shared" si="1"/>
        <v>100</v>
      </c>
    </row>
    <row r="122" spans="2:9" ht="12.75">
      <c r="B122" s="610"/>
      <c r="C122" s="278"/>
      <c r="D122" s="15" t="s">
        <v>212</v>
      </c>
      <c r="E122" s="15">
        <v>58616</v>
      </c>
      <c r="F122" s="15">
        <v>52109</v>
      </c>
      <c r="G122" s="24">
        <v>49442</v>
      </c>
      <c r="H122" s="16">
        <v>49442</v>
      </c>
      <c r="I122" s="397">
        <f t="shared" si="1"/>
        <v>100</v>
      </c>
    </row>
    <row r="123" spans="2:9" ht="13.5" thickBot="1">
      <c r="B123" s="611"/>
      <c r="C123" s="279"/>
      <c r="D123" s="109" t="s">
        <v>350</v>
      </c>
      <c r="E123" s="109"/>
      <c r="F123" s="109"/>
      <c r="G123" s="189">
        <v>12841.72</v>
      </c>
      <c r="H123" s="433">
        <v>14152</v>
      </c>
      <c r="I123" s="417">
        <f t="shared" si="1"/>
        <v>90.74137931034483</v>
      </c>
    </row>
    <row r="124" spans="2:9" s="29" customFormat="1" ht="15.75" thickBot="1">
      <c r="B124" s="435" t="s">
        <v>150</v>
      </c>
      <c r="C124" s="606" t="s">
        <v>151</v>
      </c>
      <c r="D124" s="593"/>
      <c r="E124" s="63">
        <f>SUM(E125:E126)</f>
        <v>46108</v>
      </c>
      <c r="F124" s="63">
        <f>SUM(F125:F126)</f>
        <v>47470</v>
      </c>
      <c r="G124" s="483">
        <f>SUM(G125:G126)</f>
        <v>48334.8</v>
      </c>
      <c r="H124" s="63">
        <f>SUM(H125:H126)</f>
        <v>42400</v>
      </c>
      <c r="I124" s="368">
        <f t="shared" si="1"/>
        <v>113.99716981132076</v>
      </c>
    </row>
    <row r="125" spans="2:9" ht="12.75">
      <c r="B125" s="609"/>
      <c r="C125" s="232">
        <v>630</v>
      </c>
      <c r="D125" s="23" t="s">
        <v>152</v>
      </c>
      <c r="E125" s="13">
        <v>36600</v>
      </c>
      <c r="F125" s="13">
        <v>37500</v>
      </c>
      <c r="G125" s="488">
        <v>40890</v>
      </c>
      <c r="H125" s="163">
        <v>34200</v>
      </c>
      <c r="I125" s="396">
        <f t="shared" si="1"/>
        <v>119.56140350877193</v>
      </c>
    </row>
    <row r="126" spans="2:9" ht="13.5" thickBot="1">
      <c r="B126" s="611"/>
      <c r="C126" s="234">
        <v>630</v>
      </c>
      <c r="D126" s="25" t="s">
        <v>153</v>
      </c>
      <c r="E126" s="17">
        <v>9508</v>
      </c>
      <c r="F126" s="17">
        <v>9970</v>
      </c>
      <c r="G126" s="489">
        <v>7444.8</v>
      </c>
      <c r="H126" s="170">
        <v>8200</v>
      </c>
      <c r="I126" s="398">
        <f t="shared" si="1"/>
        <v>90.79024390243903</v>
      </c>
    </row>
    <row r="127" spans="2:9" s="28" customFormat="1" ht="15.75" thickBot="1">
      <c r="B127" s="70" t="s">
        <v>40</v>
      </c>
      <c r="C127" s="606" t="s">
        <v>41</v>
      </c>
      <c r="D127" s="593"/>
      <c r="E127" s="33">
        <f>SUM(E128:E130)</f>
        <v>65201</v>
      </c>
      <c r="F127" s="33">
        <f>SUM(F128:F130)</f>
        <v>82763</v>
      </c>
      <c r="G127" s="389">
        <f>SUM(G128:G130)</f>
        <v>85325.96</v>
      </c>
      <c r="H127" s="33">
        <f>SUM(H128:H130)</f>
        <v>88357</v>
      </c>
      <c r="I127" s="366">
        <f t="shared" si="1"/>
        <v>96.56955306314158</v>
      </c>
    </row>
    <row r="128" spans="2:9" ht="12.75">
      <c r="B128" s="631"/>
      <c r="C128" s="636"/>
      <c r="D128" s="15" t="s">
        <v>185</v>
      </c>
      <c r="E128" s="311">
        <v>3787</v>
      </c>
      <c r="F128" s="311">
        <v>3290</v>
      </c>
      <c r="G128" s="486">
        <v>1483</v>
      </c>
      <c r="H128" s="171">
        <v>4300</v>
      </c>
      <c r="I128" s="413">
        <f t="shared" si="1"/>
        <v>34.48837209302326</v>
      </c>
    </row>
    <row r="129" spans="2:11" ht="12.75">
      <c r="B129" s="631"/>
      <c r="C129" s="637"/>
      <c r="D129" s="15" t="s">
        <v>228</v>
      </c>
      <c r="E129" s="302">
        <v>59118</v>
      </c>
      <c r="F129" s="302">
        <v>75103</v>
      </c>
      <c r="G129" s="472">
        <f>4634.96+76422</f>
        <v>81056.96</v>
      </c>
      <c r="H129" s="302">
        <v>81057</v>
      </c>
      <c r="I129" s="397">
        <f t="shared" si="1"/>
        <v>99.99995065201031</v>
      </c>
      <c r="K129" s="497"/>
    </row>
    <row r="130" spans="2:9" ht="13.5" thickBot="1">
      <c r="B130" s="632"/>
      <c r="C130" s="638"/>
      <c r="D130" s="109" t="s">
        <v>184</v>
      </c>
      <c r="E130" s="305">
        <v>2296</v>
      </c>
      <c r="F130" s="305">
        <v>4370</v>
      </c>
      <c r="G130" s="473">
        <v>2786</v>
      </c>
      <c r="H130" s="188">
        <v>3000</v>
      </c>
      <c r="I130" s="413">
        <f t="shared" si="1"/>
        <v>92.86666666666666</v>
      </c>
    </row>
    <row r="131" spans="2:9" s="28" customFormat="1" ht="15.75" thickBot="1">
      <c r="B131" s="64" t="s">
        <v>69</v>
      </c>
      <c r="C131" s="606" t="s">
        <v>42</v>
      </c>
      <c r="D131" s="593"/>
      <c r="E131" s="33">
        <f>E132+E136</f>
        <v>4840194</v>
      </c>
      <c r="F131" s="33">
        <f>F132+F136</f>
        <v>4773475</v>
      </c>
      <c r="G131" s="389">
        <f>G132+G136</f>
        <v>4944992.85</v>
      </c>
      <c r="H131" s="33">
        <f>H132+H136</f>
        <v>4805829</v>
      </c>
      <c r="I131" s="366">
        <f t="shared" si="1"/>
        <v>102.89573037242899</v>
      </c>
    </row>
    <row r="132" spans="2:9" ht="13.5" thickBot="1">
      <c r="B132" s="630"/>
      <c r="C132" s="641" t="s">
        <v>43</v>
      </c>
      <c r="D132" s="642"/>
      <c r="E132" s="6">
        <f>SUM(E133:E135)</f>
        <v>38808</v>
      </c>
      <c r="F132" s="6">
        <f>SUM(F133:F135)</f>
        <v>36313</v>
      </c>
      <c r="G132" s="490">
        <f>SUM(G133:G135)</f>
        <v>35493.83</v>
      </c>
      <c r="H132" s="6">
        <f>SUM(H133:H135)</f>
        <v>36311</v>
      </c>
      <c r="I132" s="414">
        <f t="shared" si="1"/>
        <v>97.7495249373468</v>
      </c>
    </row>
    <row r="133" spans="2:9" ht="12.75">
      <c r="B133" s="631"/>
      <c r="C133" s="256">
        <v>610</v>
      </c>
      <c r="D133" s="32" t="s">
        <v>2</v>
      </c>
      <c r="E133" s="11">
        <v>26330</v>
      </c>
      <c r="F133" s="11">
        <v>25388</v>
      </c>
      <c r="G133" s="11">
        <v>24578.53</v>
      </c>
      <c r="H133" s="206">
        <v>25008</v>
      </c>
      <c r="I133" s="415">
        <f t="shared" si="1"/>
        <v>98.28266954574536</v>
      </c>
    </row>
    <row r="134" spans="2:9" ht="12.75">
      <c r="B134" s="631"/>
      <c r="C134" s="233">
        <v>620</v>
      </c>
      <c r="D134" s="15" t="s">
        <v>3</v>
      </c>
      <c r="E134" s="15">
        <v>9735</v>
      </c>
      <c r="F134" s="15">
        <v>9358</v>
      </c>
      <c r="G134" s="500">
        <v>9719.8</v>
      </c>
      <c r="H134" s="207">
        <v>9170</v>
      </c>
      <c r="I134" s="374">
        <f t="shared" si="1"/>
        <v>105.99563794983642</v>
      </c>
    </row>
    <row r="135" spans="2:9" ht="13.5" thickBot="1">
      <c r="B135" s="631"/>
      <c r="C135" s="234">
        <v>630</v>
      </c>
      <c r="D135" s="17" t="s">
        <v>61</v>
      </c>
      <c r="E135" s="26">
        <v>2743</v>
      </c>
      <c r="F135" s="26">
        <v>1567</v>
      </c>
      <c r="G135" s="26">
        <v>1195.5</v>
      </c>
      <c r="H135" s="27">
        <v>2133</v>
      </c>
      <c r="I135" s="411">
        <f t="shared" si="1"/>
        <v>56.0478199718706</v>
      </c>
    </row>
    <row r="136" spans="2:9" ht="13.5" thickBot="1">
      <c r="B136" s="631"/>
      <c r="C136" s="643" t="s">
        <v>155</v>
      </c>
      <c r="D136" s="644"/>
      <c r="E136" s="211">
        <f>SUM(E137:E144)</f>
        <v>4801386</v>
      </c>
      <c r="F136" s="211">
        <f>SUM(F137:F144)</f>
        <v>4737162</v>
      </c>
      <c r="G136" s="491">
        <f>SUM(G137:G144)</f>
        <v>4909499.02</v>
      </c>
      <c r="H136" s="211">
        <f>SUM(H137:H144)</f>
        <v>4769518</v>
      </c>
      <c r="I136" s="416">
        <f t="shared" si="1"/>
        <v>102.93490914595563</v>
      </c>
    </row>
    <row r="137" spans="2:12" ht="12.75">
      <c r="B137" s="631"/>
      <c r="C137" s="636"/>
      <c r="D137" s="32" t="s">
        <v>222</v>
      </c>
      <c r="E137" s="311">
        <v>2241882</v>
      </c>
      <c r="F137" s="311">
        <f>2465470-80179</f>
        <v>2385291</v>
      </c>
      <c r="G137" s="486">
        <f>2336491.67+27236</f>
        <v>2363727.67</v>
      </c>
      <c r="H137" s="171">
        <v>2374727</v>
      </c>
      <c r="I137" s="413">
        <f t="shared" si="1"/>
        <v>99.53681707413105</v>
      </c>
      <c r="L137" s="497"/>
    </row>
    <row r="138" spans="2:9" ht="12.75">
      <c r="B138" s="631"/>
      <c r="C138" s="637"/>
      <c r="D138" s="15" t="s">
        <v>223</v>
      </c>
      <c r="E138" s="302">
        <v>2169532</v>
      </c>
      <c r="F138" s="302">
        <v>1972245</v>
      </c>
      <c r="G138" s="472">
        <v>2097007.99</v>
      </c>
      <c r="H138" s="164">
        <v>2004277</v>
      </c>
      <c r="I138" s="397">
        <f t="shared" si="1"/>
        <v>104.62665539743259</v>
      </c>
    </row>
    <row r="139" spans="2:12" ht="12.75">
      <c r="B139" s="631"/>
      <c r="C139" s="637"/>
      <c r="D139" s="26" t="s">
        <v>388</v>
      </c>
      <c r="E139" s="309"/>
      <c r="F139" s="309"/>
      <c r="G139" s="487">
        <v>58464.77</v>
      </c>
      <c r="H139" s="166"/>
      <c r="I139" s="397">
        <f t="shared" si="1"/>
        <v>0</v>
      </c>
      <c r="L139" s="497"/>
    </row>
    <row r="140" spans="2:9" ht="12.75">
      <c r="B140" s="631"/>
      <c r="C140" s="637"/>
      <c r="D140" s="26" t="s">
        <v>351</v>
      </c>
      <c r="E140" s="309"/>
      <c r="F140" s="309">
        <v>6822</v>
      </c>
      <c r="G140" s="487">
        <v>4779.37</v>
      </c>
      <c r="H140" s="166">
        <v>4780</v>
      </c>
      <c r="I140" s="397">
        <f t="shared" si="1"/>
        <v>99.986820083682</v>
      </c>
    </row>
    <row r="141" spans="2:15" ht="12.75">
      <c r="B141" s="631"/>
      <c r="C141" s="637"/>
      <c r="D141" s="26" t="s">
        <v>364</v>
      </c>
      <c r="E141" s="309">
        <v>23184</v>
      </c>
      <c r="F141" s="309"/>
      <c r="G141" s="487">
        <v>240.97</v>
      </c>
      <c r="H141" s="166"/>
      <c r="I141" s="411">
        <f aca="true" t="shared" si="2" ref="I141:I184">IF(H141=0,0,G141/H141)*100</f>
        <v>0</v>
      </c>
      <c r="O141" s="497"/>
    </row>
    <row r="142" spans="2:9" ht="12.75">
      <c r="B142" s="631"/>
      <c r="C142" s="637"/>
      <c r="D142" s="26" t="s">
        <v>386</v>
      </c>
      <c r="E142" s="309"/>
      <c r="F142" s="309"/>
      <c r="G142" s="487">
        <v>8661.25</v>
      </c>
      <c r="H142" s="166">
        <v>0</v>
      </c>
      <c r="I142" s="411">
        <f t="shared" si="2"/>
        <v>0</v>
      </c>
    </row>
    <row r="143" spans="2:9" ht="12.75">
      <c r="B143" s="631"/>
      <c r="C143" s="637"/>
      <c r="D143" s="26" t="s">
        <v>238</v>
      </c>
      <c r="E143" s="309">
        <v>33868</v>
      </c>
      <c r="F143" s="309"/>
      <c r="G143" s="487"/>
      <c r="H143" s="166">
        <v>18000</v>
      </c>
      <c r="I143" s="411">
        <f t="shared" si="2"/>
        <v>0</v>
      </c>
    </row>
    <row r="144" spans="2:9" ht="13.5" thickBot="1">
      <c r="B144" s="632"/>
      <c r="C144" s="638"/>
      <c r="D144" s="17" t="s">
        <v>322</v>
      </c>
      <c r="E144" s="316">
        <v>332920</v>
      </c>
      <c r="F144" s="316">
        <v>372804</v>
      </c>
      <c r="G144" s="492">
        <f>367734+8883</f>
        <v>376617</v>
      </c>
      <c r="H144" s="170">
        <v>367734</v>
      </c>
      <c r="I144" s="398">
        <f t="shared" si="2"/>
        <v>102.41560475778688</v>
      </c>
    </row>
    <row r="145" spans="2:9" s="28" customFormat="1" ht="15.75" thickBot="1">
      <c r="B145" s="210" t="s">
        <v>66</v>
      </c>
      <c r="C145" s="627" t="s">
        <v>44</v>
      </c>
      <c r="D145" s="570"/>
      <c r="E145" s="63">
        <f>SUM(E146:E149)</f>
        <v>26182</v>
      </c>
      <c r="F145" s="63">
        <f>SUM(F146:F149)</f>
        <v>16605</v>
      </c>
      <c r="G145" s="483">
        <f>SUM(G146:G149)</f>
        <v>19312.66</v>
      </c>
      <c r="H145" s="63">
        <f>SUM(H146:H148)</f>
        <v>24296</v>
      </c>
      <c r="I145" s="368">
        <f t="shared" si="2"/>
        <v>79.4890516957524</v>
      </c>
    </row>
    <row r="146" spans="2:9" s="28" customFormat="1" ht="12.75" customHeight="1">
      <c r="B146" s="633"/>
      <c r="C146" s="272">
        <v>610</v>
      </c>
      <c r="D146" s="32" t="s">
        <v>2</v>
      </c>
      <c r="E146" s="32">
        <v>14984</v>
      </c>
      <c r="F146" s="32">
        <v>11095</v>
      </c>
      <c r="G146" s="493">
        <v>11946.75</v>
      </c>
      <c r="H146" s="31">
        <v>16428</v>
      </c>
      <c r="I146" s="413">
        <f t="shared" si="2"/>
        <v>72.7218772826881</v>
      </c>
    </row>
    <row r="147" spans="2:9" s="28" customFormat="1" ht="12.75" customHeight="1">
      <c r="B147" s="634"/>
      <c r="C147" s="271">
        <v>620</v>
      </c>
      <c r="D147" s="15" t="s">
        <v>3</v>
      </c>
      <c r="E147" s="15">
        <v>5972</v>
      </c>
      <c r="F147" s="15">
        <v>4227</v>
      </c>
      <c r="G147" s="471">
        <v>4902.95</v>
      </c>
      <c r="H147" s="16">
        <v>5993</v>
      </c>
      <c r="I147" s="397">
        <f t="shared" si="2"/>
        <v>81.8112798264642</v>
      </c>
    </row>
    <row r="148" spans="2:9" ht="12.75" customHeight="1">
      <c r="B148" s="634"/>
      <c r="C148" s="271">
        <v>630</v>
      </c>
      <c r="D148" s="15" t="s">
        <v>61</v>
      </c>
      <c r="E148" s="302">
        <v>1495</v>
      </c>
      <c r="F148" s="302">
        <v>1200</v>
      </c>
      <c r="G148" s="472">
        <v>931.46</v>
      </c>
      <c r="H148" s="164">
        <v>1875</v>
      </c>
      <c r="I148" s="397">
        <f t="shared" si="2"/>
        <v>49.677866666666674</v>
      </c>
    </row>
    <row r="149" spans="2:9" ht="12.75" customHeight="1" thickBot="1">
      <c r="B149" s="635"/>
      <c r="C149" s="234">
        <v>640</v>
      </c>
      <c r="D149" s="151" t="s">
        <v>286</v>
      </c>
      <c r="E149" s="305">
        <v>3731</v>
      </c>
      <c r="F149" s="305">
        <v>83</v>
      </c>
      <c r="G149" s="473">
        <v>1531.5</v>
      </c>
      <c r="H149" s="188"/>
      <c r="I149" s="191">
        <f t="shared" si="2"/>
        <v>0</v>
      </c>
    </row>
    <row r="150" spans="2:9" s="28" customFormat="1" ht="15.75" thickBot="1">
      <c r="B150" s="64" t="s">
        <v>71</v>
      </c>
      <c r="C150" s="606" t="s">
        <v>45</v>
      </c>
      <c r="D150" s="593"/>
      <c r="E150" s="33">
        <f>E151+E157+E156</f>
        <v>51352</v>
      </c>
      <c r="F150" s="33">
        <f>F151+F157+F156</f>
        <v>57413</v>
      </c>
      <c r="G150" s="389">
        <f>G151+G157+G156</f>
        <v>142019.73</v>
      </c>
      <c r="H150" s="33">
        <f>H151+H157+H156</f>
        <v>116557</v>
      </c>
      <c r="I150" s="366">
        <f t="shared" si="2"/>
        <v>121.84573213106036</v>
      </c>
    </row>
    <row r="151" spans="2:9" ht="13.5" thickBot="1">
      <c r="B151" s="630"/>
      <c r="C151" s="641" t="s">
        <v>46</v>
      </c>
      <c r="D151" s="642"/>
      <c r="E151" s="6">
        <f>SUM(E152:E155)</f>
        <v>47897</v>
      </c>
      <c r="F151" s="6">
        <f>SUM(F152:F155)</f>
        <v>54913</v>
      </c>
      <c r="G151" s="490">
        <f>SUM(G152:G155)</f>
        <v>59991.65</v>
      </c>
      <c r="H151" s="6">
        <f>SUM(H152:H154)</f>
        <v>45634</v>
      </c>
      <c r="I151" s="414">
        <f t="shared" si="2"/>
        <v>131.46261559363631</v>
      </c>
    </row>
    <row r="152" spans="2:9" ht="12.75">
      <c r="B152" s="631"/>
      <c r="C152" s="256">
        <v>610</v>
      </c>
      <c r="D152" s="32" t="s">
        <v>2</v>
      </c>
      <c r="E152" s="311">
        <v>28630</v>
      </c>
      <c r="F152" s="32">
        <v>28741</v>
      </c>
      <c r="G152" s="314">
        <v>31950.86</v>
      </c>
      <c r="H152" s="171">
        <v>28774</v>
      </c>
      <c r="I152" s="413">
        <f t="shared" si="2"/>
        <v>111.04073121568084</v>
      </c>
    </row>
    <row r="153" spans="2:9" ht="12.75">
      <c r="B153" s="631"/>
      <c r="C153" s="233">
        <v>620</v>
      </c>
      <c r="D153" s="15" t="s">
        <v>3</v>
      </c>
      <c r="E153" s="302">
        <v>10691</v>
      </c>
      <c r="F153" s="15">
        <v>10646</v>
      </c>
      <c r="G153" s="303">
        <v>12860.64</v>
      </c>
      <c r="H153" s="164">
        <v>10741</v>
      </c>
      <c r="I153" s="397">
        <f t="shared" si="2"/>
        <v>119.7341029699283</v>
      </c>
    </row>
    <row r="154" spans="2:9" ht="12.75">
      <c r="B154" s="631"/>
      <c r="C154" s="243">
        <v>630</v>
      </c>
      <c r="D154" s="26" t="s">
        <v>61</v>
      </c>
      <c r="E154" s="26">
        <v>8576</v>
      </c>
      <c r="F154" s="26">
        <f>17951-2500</f>
        <v>15451</v>
      </c>
      <c r="G154" s="446">
        <v>15180.15</v>
      </c>
      <c r="H154" s="27">
        <v>6119</v>
      </c>
      <c r="I154" s="411">
        <f t="shared" si="2"/>
        <v>248.08220297434224</v>
      </c>
    </row>
    <row r="155" spans="2:9" ht="13.5" thickBot="1">
      <c r="B155" s="631"/>
      <c r="C155" s="273">
        <v>640</v>
      </c>
      <c r="D155" s="25" t="s">
        <v>286</v>
      </c>
      <c r="E155" s="17"/>
      <c r="F155" s="17">
        <v>75</v>
      </c>
      <c r="G155" s="315"/>
      <c r="H155" s="170"/>
      <c r="I155" s="398">
        <f t="shared" si="2"/>
        <v>0</v>
      </c>
    </row>
    <row r="156" spans="2:9" ht="13.5" customHeight="1" thickBot="1">
      <c r="B156" s="631"/>
      <c r="C156" s="238">
        <v>630</v>
      </c>
      <c r="D156" s="189" t="s">
        <v>333</v>
      </c>
      <c r="E156" s="109"/>
      <c r="F156" s="109"/>
      <c r="G156" s="307">
        <v>82028.08</v>
      </c>
      <c r="H156" s="265">
        <v>68423</v>
      </c>
      <c r="I156" s="417">
        <f t="shared" si="2"/>
        <v>119.8837817692881</v>
      </c>
    </row>
    <row r="157" spans="2:9" ht="13.5" thickBot="1">
      <c r="B157" s="631"/>
      <c r="C157" s="643" t="s">
        <v>47</v>
      </c>
      <c r="D157" s="644"/>
      <c r="E157" s="96">
        <f>E158</f>
        <v>3455</v>
      </c>
      <c r="F157" s="96">
        <f>F158</f>
        <v>2500</v>
      </c>
      <c r="G157" s="454"/>
      <c r="H157" s="96">
        <v>2500</v>
      </c>
      <c r="I157" s="418">
        <f t="shared" si="2"/>
        <v>0</v>
      </c>
    </row>
    <row r="158" spans="2:9" ht="13.5" thickBot="1">
      <c r="B158" s="632"/>
      <c r="C158" s="257">
        <v>630</v>
      </c>
      <c r="D158" s="17" t="s">
        <v>61</v>
      </c>
      <c r="E158" s="316">
        <v>3455</v>
      </c>
      <c r="F158" s="17">
        <v>2500</v>
      </c>
      <c r="G158" s="315"/>
      <c r="H158" s="170">
        <v>2500</v>
      </c>
      <c r="I158" s="398">
        <f t="shared" si="2"/>
        <v>0</v>
      </c>
    </row>
    <row r="159" spans="2:9" s="29" customFormat="1" ht="15.75" thickBot="1">
      <c r="B159" s="260" t="s">
        <v>72</v>
      </c>
      <c r="C159" s="627" t="s">
        <v>73</v>
      </c>
      <c r="D159" s="570"/>
      <c r="E159" s="63">
        <f>SUM(E160:E164)</f>
        <v>141580</v>
      </c>
      <c r="F159" s="63">
        <f>SUM(F160:F164)</f>
        <v>144793</v>
      </c>
      <c r="G159" s="483">
        <f>SUM(G160:G164)</f>
        <v>138341.56</v>
      </c>
      <c r="H159" s="63">
        <f>SUM(H160:H164)</f>
        <v>138928</v>
      </c>
      <c r="I159" s="368">
        <f t="shared" si="2"/>
        <v>99.57788206840952</v>
      </c>
    </row>
    <row r="160" spans="2:9" ht="12.75">
      <c r="B160" s="630"/>
      <c r="C160" s="232">
        <v>610</v>
      </c>
      <c r="D160" s="13" t="s">
        <v>2</v>
      </c>
      <c r="E160" s="13">
        <v>93404</v>
      </c>
      <c r="F160" s="14">
        <v>93846</v>
      </c>
      <c r="G160" s="470">
        <v>85213.93</v>
      </c>
      <c r="H160" s="14">
        <v>93319</v>
      </c>
      <c r="I160" s="396">
        <f t="shared" si="2"/>
        <v>91.31466260890065</v>
      </c>
    </row>
    <row r="161" spans="2:9" ht="12.75">
      <c r="B161" s="631"/>
      <c r="C161" s="233">
        <v>620</v>
      </c>
      <c r="D161" s="15" t="s">
        <v>3</v>
      </c>
      <c r="E161" s="15">
        <v>32703</v>
      </c>
      <c r="F161" s="16">
        <v>32877</v>
      </c>
      <c r="G161" s="471">
        <v>32579.829999999994</v>
      </c>
      <c r="H161" s="16">
        <v>32649</v>
      </c>
      <c r="I161" s="397">
        <f t="shared" si="2"/>
        <v>99.78814052497778</v>
      </c>
    </row>
    <row r="162" spans="2:9" ht="12.75">
      <c r="B162" s="631"/>
      <c r="C162" s="243">
        <v>630</v>
      </c>
      <c r="D162" s="26" t="s">
        <v>61</v>
      </c>
      <c r="E162" s="309">
        <v>14133</v>
      </c>
      <c r="F162" s="166">
        <v>17748</v>
      </c>
      <c r="G162" s="487">
        <v>20156.86</v>
      </c>
      <c r="H162" s="166">
        <v>12960</v>
      </c>
      <c r="I162" s="411">
        <f t="shared" si="2"/>
        <v>155.53132716049382</v>
      </c>
    </row>
    <row r="163" spans="2:9" ht="13.5" thickBot="1">
      <c r="B163" s="631"/>
      <c r="C163" s="234">
        <v>640</v>
      </c>
      <c r="D163" s="17" t="s">
        <v>286</v>
      </c>
      <c r="E163" s="316">
        <v>1340</v>
      </c>
      <c r="F163" s="170">
        <v>322</v>
      </c>
      <c r="G163" s="492">
        <v>390.94</v>
      </c>
      <c r="H163" s="170"/>
      <c r="I163" s="398">
        <f t="shared" si="2"/>
        <v>0</v>
      </c>
    </row>
    <row r="164" spans="2:9" ht="13.5" thickBot="1">
      <c r="B164" s="632"/>
      <c r="C164" s="238">
        <v>630</v>
      </c>
      <c r="D164" s="109" t="s">
        <v>224</v>
      </c>
      <c r="E164" s="432"/>
      <c r="F164" s="9"/>
      <c r="G164" s="482"/>
      <c r="H164" s="265"/>
      <c r="I164" s="417">
        <f t="shared" si="2"/>
        <v>0</v>
      </c>
    </row>
    <row r="165" spans="2:9" s="29" customFormat="1" ht="15.75" thickBot="1">
      <c r="B165" s="434" t="s">
        <v>48</v>
      </c>
      <c r="C165" s="627" t="s">
        <v>74</v>
      </c>
      <c r="D165" s="570"/>
      <c r="E165" s="63">
        <f>SUM(E166:E169)</f>
        <v>33860</v>
      </c>
      <c r="F165" s="63">
        <f>SUM(F166:F169)</f>
        <v>33843</v>
      </c>
      <c r="G165" s="483">
        <f>SUM(G166:G169)</f>
        <v>35020.590000000004</v>
      </c>
      <c r="H165" s="63">
        <f>SUM(H166:H168)</f>
        <v>33166</v>
      </c>
      <c r="I165" s="368">
        <f t="shared" si="2"/>
        <v>105.591841042031</v>
      </c>
    </row>
    <row r="166" spans="2:9" s="29" customFormat="1" ht="12.75" customHeight="1">
      <c r="B166" s="650"/>
      <c r="C166" s="232">
        <v>610</v>
      </c>
      <c r="D166" s="23" t="s">
        <v>2</v>
      </c>
      <c r="E166" s="23">
        <v>19537</v>
      </c>
      <c r="F166" s="14">
        <v>19331</v>
      </c>
      <c r="G166" s="465">
        <v>19931.3</v>
      </c>
      <c r="H166" s="14">
        <v>19199</v>
      </c>
      <c r="I166" s="396">
        <f t="shared" si="2"/>
        <v>103.81426115943538</v>
      </c>
    </row>
    <row r="167" spans="2:9" s="29" customFormat="1" ht="12.75" customHeight="1">
      <c r="B167" s="651"/>
      <c r="C167" s="233">
        <v>620</v>
      </c>
      <c r="D167" s="24" t="s">
        <v>3</v>
      </c>
      <c r="E167" s="24">
        <v>7857</v>
      </c>
      <c r="F167" s="16">
        <v>7510</v>
      </c>
      <c r="G167" s="466">
        <v>8330.59</v>
      </c>
      <c r="H167" s="16">
        <v>7390</v>
      </c>
      <c r="I167" s="397">
        <f t="shared" si="2"/>
        <v>112.7278755074425</v>
      </c>
    </row>
    <row r="168" spans="2:9" s="29" customFormat="1" ht="12.75" customHeight="1">
      <c r="B168" s="651"/>
      <c r="C168" s="233">
        <v>630</v>
      </c>
      <c r="D168" s="24" t="s">
        <v>61</v>
      </c>
      <c r="E168" s="24">
        <v>6466</v>
      </c>
      <c r="F168" s="16">
        <v>6899</v>
      </c>
      <c r="G168" s="467">
        <v>6669.76</v>
      </c>
      <c r="H168" s="164">
        <v>6577</v>
      </c>
      <c r="I168" s="397">
        <f t="shared" si="2"/>
        <v>101.41036946936293</v>
      </c>
    </row>
    <row r="169" spans="2:9" s="29" customFormat="1" ht="12.75" customHeight="1" thickBot="1">
      <c r="B169" s="652"/>
      <c r="C169" s="238">
        <v>640</v>
      </c>
      <c r="D169" s="189" t="s">
        <v>286</v>
      </c>
      <c r="E169" s="189"/>
      <c r="F169" s="433">
        <v>103</v>
      </c>
      <c r="G169" s="494">
        <v>88.94</v>
      </c>
      <c r="H169" s="18"/>
      <c r="I169" s="398">
        <f t="shared" si="2"/>
        <v>0</v>
      </c>
    </row>
    <row r="170" spans="2:9" s="287" customFormat="1" ht="30.75" customHeight="1" thickBot="1">
      <c r="B170" s="158" t="s">
        <v>49</v>
      </c>
      <c r="C170" s="646" t="s">
        <v>70</v>
      </c>
      <c r="D170" s="647"/>
      <c r="E170" s="159">
        <f>E171+E176+E177+E178+E179+E180+E182+E183+E181</f>
        <v>235945</v>
      </c>
      <c r="F170" s="159">
        <f>F171+F176+F177+F178+F179+F180+F182+F183+F181</f>
        <v>566990</v>
      </c>
      <c r="G170" s="495">
        <f>G171+G176+G177+G178+G179+G180+G182+G183+G181</f>
        <v>568843.26</v>
      </c>
      <c r="H170" s="159">
        <f>H171+H176+H177+H178+H179+H180+H182+H183+H181</f>
        <v>340716</v>
      </c>
      <c r="I170" s="419">
        <f t="shared" si="2"/>
        <v>166.95525305533053</v>
      </c>
    </row>
    <row r="171" spans="2:9" ht="13.5" thickBot="1">
      <c r="B171" s="645"/>
      <c r="C171" s="648" t="s">
        <v>50</v>
      </c>
      <c r="D171" s="649"/>
      <c r="E171" s="180">
        <f>SUM(E172:E175)</f>
        <v>41385</v>
      </c>
      <c r="F171" s="180">
        <f>SUM(F172:F175)</f>
        <v>80229</v>
      </c>
      <c r="G171" s="496">
        <f>SUM(G172:G175)</f>
        <v>66952.96999999999</v>
      </c>
      <c r="H171" s="180">
        <f>SUM(H172:H174)</f>
        <v>85592</v>
      </c>
      <c r="I171" s="420">
        <f t="shared" si="2"/>
        <v>78.22339704645293</v>
      </c>
    </row>
    <row r="172" spans="2:9" ht="12.75">
      <c r="B172" s="645"/>
      <c r="C172" s="256">
        <v>610</v>
      </c>
      <c r="D172" s="32" t="s">
        <v>2</v>
      </c>
      <c r="E172" s="32">
        <v>27310</v>
      </c>
      <c r="F172" s="31">
        <f>53671+1149</f>
        <v>54820</v>
      </c>
      <c r="G172" s="455">
        <v>43998.71</v>
      </c>
      <c r="H172" s="196">
        <v>57902</v>
      </c>
      <c r="I172" s="421">
        <f t="shared" si="2"/>
        <v>75.98823874822976</v>
      </c>
    </row>
    <row r="173" spans="2:9" ht="12.75">
      <c r="B173" s="645"/>
      <c r="C173" s="233">
        <v>620</v>
      </c>
      <c r="D173" s="15" t="s">
        <v>3</v>
      </c>
      <c r="E173" s="302">
        <v>10254</v>
      </c>
      <c r="F173" s="16">
        <f>297+19317</f>
        <v>19614</v>
      </c>
      <c r="G173" s="325">
        <v>18142.44</v>
      </c>
      <c r="H173" s="266">
        <v>20830</v>
      </c>
      <c r="I173" s="422">
        <f t="shared" si="2"/>
        <v>87.09764762361978</v>
      </c>
    </row>
    <row r="174" spans="2:9" ht="12.75">
      <c r="B174" s="645"/>
      <c r="C174" s="271">
        <v>630</v>
      </c>
      <c r="D174" s="15" t="s">
        <v>61</v>
      </c>
      <c r="E174" s="305">
        <v>3821</v>
      </c>
      <c r="F174" s="445">
        <v>5011</v>
      </c>
      <c r="G174" s="293">
        <v>4277.15</v>
      </c>
      <c r="H174" s="321">
        <v>6860</v>
      </c>
      <c r="I174" s="423">
        <f t="shared" si="2"/>
        <v>62.34912536443148</v>
      </c>
    </row>
    <row r="175" spans="2:9" ht="13.5" thickBot="1">
      <c r="B175" s="645"/>
      <c r="C175" s="238">
        <v>640</v>
      </c>
      <c r="D175" s="189" t="s">
        <v>286</v>
      </c>
      <c r="E175" s="17"/>
      <c r="F175" s="18">
        <v>784</v>
      </c>
      <c r="G175" s="323">
        <v>534.67</v>
      </c>
      <c r="H175" s="322"/>
      <c r="I175" s="424">
        <f t="shared" si="2"/>
        <v>0</v>
      </c>
    </row>
    <row r="176" spans="2:9" ht="12.75">
      <c r="B176" s="645"/>
      <c r="C176" s="258"/>
      <c r="D176" s="73" t="s">
        <v>51</v>
      </c>
      <c r="E176" s="32">
        <v>11343</v>
      </c>
      <c r="F176" s="31">
        <v>6313</v>
      </c>
      <c r="G176" s="324">
        <v>5404.14</v>
      </c>
      <c r="H176" s="171">
        <v>7000</v>
      </c>
      <c r="I176" s="413">
        <f t="shared" si="2"/>
        <v>77.202</v>
      </c>
    </row>
    <row r="177" spans="2:9" ht="12.75" hidden="1">
      <c r="B177" s="645"/>
      <c r="C177" s="259"/>
      <c r="D177" s="24" t="s">
        <v>263</v>
      </c>
      <c r="E177" s="15"/>
      <c r="F177" s="16"/>
      <c r="G177" s="325"/>
      <c r="H177" s="164">
        <v>0</v>
      </c>
      <c r="I177" s="397">
        <f t="shared" si="2"/>
        <v>0</v>
      </c>
    </row>
    <row r="178" spans="2:9" ht="12.75" customHeight="1" hidden="1">
      <c r="B178" s="645"/>
      <c r="C178" s="259">
        <v>630</v>
      </c>
      <c r="D178" s="24" t="s">
        <v>263</v>
      </c>
      <c r="E178" s="15"/>
      <c r="F178" s="16"/>
      <c r="G178" s="325"/>
      <c r="H178" s="164">
        <v>0</v>
      </c>
      <c r="I178" s="397">
        <f t="shared" si="2"/>
        <v>0</v>
      </c>
    </row>
    <row r="179" spans="2:9" ht="12.75">
      <c r="B179" s="645"/>
      <c r="C179" s="259">
        <v>630</v>
      </c>
      <c r="D179" s="24" t="s">
        <v>52</v>
      </c>
      <c r="E179" s="15">
        <v>95746</v>
      </c>
      <c r="F179" s="16">
        <f>5530+80179</f>
        <v>85709</v>
      </c>
      <c r="G179" s="325">
        <v>56320.98000000001</v>
      </c>
      <c r="H179" s="164">
        <v>35000</v>
      </c>
      <c r="I179" s="397">
        <f t="shared" si="2"/>
        <v>160.91708571428575</v>
      </c>
    </row>
    <row r="180" spans="2:12" ht="12.75">
      <c r="B180" s="645"/>
      <c r="C180" s="259">
        <v>630</v>
      </c>
      <c r="D180" s="24" t="s">
        <v>263</v>
      </c>
      <c r="E180" s="15"/>
      <c r="F180" s="16"/>
      <c r="G180" s="325"/>
      <c r="H180" s="164">
        <v>0</v>
      </c>
      <c r="I180" s="397">
        <f t="shared" si="2"/>
        <v>0</v>
      </c>
      <c r="L180" s="497"/>
    </row>
    <row r="181" spans="2:9" ht="12.75">
      <c r="B181" s="645"/>
      <c r="C181" s="259"/>
      <c r="D181" s="24" t="s">
        <v>302</v>
      </c>
      <c r="E181" s="15">
        <v>85602</v>
      </c>
      <c r="F181" s="16">
        <f>4915+388479</f>
        <v>393394</v>
      </c>
      <c r="G181" s="325">
        <v>426977.77</v>
      </c>
      <c r="H181" s="174">
        <v>192900</v>
      </c>
      <c r="I181" s="194">
        <f t="shared" si="2"/>
        <v>221.34669258683255</v>
      </c>
    </row>
    <row r="182" spans="2:9" ht="12.75">
      <c r="B182" s="645"/>
      <c r="C182" s="259">
        <v>630</v>
      </c>
      <c r="D182" s="24" t="s">
        <v>53</v>
      </c>
      <c r="E182" s="15">
        <v>1809</v>
      </c>
      <c r="F182" s="16">
        <v>1345</v>
      </c>
      <c r="G182" s="325">
        <f>13097.4+11221.6-11241.6</f>
        <v>13077.4</v>
      </c>
      <c r="H182" s="164">
        <v>20224</v>
      </c>
      <c r="I182" s="397">
        <f t="shared" si="2"/>
        <v>64.66277689873418</v>
      </c>
    </row>
    <row r="183" spans="2:9" ht="13.5" thickBot="1">
      <c r="B183" s="645"/>
      <c r="C183" s="259">
        <v>630</v>
      </c>
      <c r="D183" s="24" t="s">
        <v>54</v>
      </c>
      <c r="E183" s="320">
        <v>60</v>
      </c>
      <c r="F183" s="456"/>
      <c r="G183" s="325">
        <v>110</v>
      </c>
      <c r="H183" s="164"/>
      <c r="I183" s="397">
        <f t="shared" si="2"/>
        <v>0</v>
      </c>
    </row>
    <row r="184" spans="2:9" s="30" customFormat="1" ht="17.25" thickBot="1" thickTop="1">
      <c r="B184" s="594" t="s">
        <v>57</v>
      </c>
      <c r="C184" s="595"/>
      <c r="D184" s="596"/>
      <c r="E184" s="72">
        <f>E4+E9+E13+E24+E26+E28+E33+E35+E40+E46+E51+E65+E69+E75+E80+E84+E101+E103+E111+E114+E124+E127+E131+E145+E150+E159+E165+E170+E105+E18+E42+E73</f>
        <v>9090417</v>
      </c>
      <c r="F184" s="72">
        <f>F4+F9+F13+F24+F26+F28+F33+F35+F40+F46+F51+F65+F69+F75+F80+F84+F101+F103+F111+F114+F124+F127+F131+F145+F150+F159+F165+F170+F105+F18+F42+F73</f>
        <v>8934542</v>
      </c>
      <c r="G184" s="469">
        <f>G4+G9+G13+G24+G26+G28+G33+G35+G40+G46+G51+G65+G69+G75+G80+G84+G101+G103+G111+G114+G124+G127+G131+G145+G150+G159+G165+G170+G105+G18+G42+G73</f>
        <v>9572545.38</v>
      </c>
      <c r="H184" s="72">
        <f>H4+H9+H13+H24+H26+H28+H33+H35+H40+H46+H51+H65+H69+H75+H80+H84+H101+H103+H111+H114+H124+H127+H131+H145+H150+H159+H165+H170+H105+H18+H42+H73</f>
        <v>9065389</v>
      </c>
      <c r="I184" s="375">
        <f t="shared" si="2"/>
        <v>105.5944249055391</v>
      </c>
    </row>
    <row r="185" ht="13.5" thickTop="1"/>
    <row r="187" spans="2:4" ht="16.5" customHeight="1">
      <c r="B187" s="333"/>
      <c r="C187" s="333"/>
      <c r="D187" s="333"/>
    </row>
    <row r="188" spans="2:9" ht="12.75" customHeight="1">
      <c r="B188" s="333"/>
      <c r="C188" s="333"/>
      <c r="D188" s="333"/>
      <c r="G188" s="497"/>
      <c r="I188" s="205"/>
    </row>
    <row r="189" spans="2:9" ht="12.75" customHeight="1">
      <c r="B189" s="333"/>
      <c r="C189" s="333"/>
      <c r="D189" s="333"/>
      <c r="I189" s="205"/>
    </row>
    <row r="190" spans="2:7" ht="12.75" customHeight="1">
      <c r="B190" s="333"/>
      <c r="C190" s="333"/>
      <c r="D190" s="333"/>
      <c r="F190" s="205"/>
      <c r="G190" s="205"/>
    </row>
    <row r="191" spans="2:4" ht="12.75" customHeight="1">
      <c r="B191" s="333"/>
      <c r="C191" s="333"/>
      <c r="D191" s="333"/>
    </row>
    <row r="192" ht="12.75" customHeight="1">
      <c r="L192" s="558"/>
    </row>
    <row r="193" spans="2:8" ht="14.25">
      <c r="B193" s="12"/>
      <c r="C193" s="81"/>
      <c r="D193" s="12"/>
      <c r="E193" s="12"/>
      <c r="F193" s="326"/>
      <c r="G193" s="326"/>
      <c r="H193" s="142"/>
    </row>
    <row r="195" spans="6:7" ht="12.75">
      <c r="F195" s="205"/>
      <c r="G195" s="205"/>
    </row>
  </sheetData>
  <sheetProtection/>
  <mergeCells count="75">
    <mergeCell ref="C165:D165"/>
    <mergeCell ref="C157:D157"/>
    <mergeCell ref="B160:B164"/>
    <mergeCell ref="C159:D159"/>
    <mergeCell ref="B151:B158"/>
    <mergeCell ref="B171:B183"/>
    <mergeCell ref="C170:D170"/>
    <mergeCell ref="C171:D171"/>
    <mergeCell ref="B166:B169"/>
    <mergeCell ref="B85:B100"/>
    <mergeCell ref="B106:B110"/>
    <mergeCell ref="C131:D131"/>
    <mergeCell ref="C111:D111"/>
    <mergeCell ref="C124:D124"/>
    <mergeCell ref="B115:B123"/>
    <mergeCell ref="B112:B113"/>
    <mergeCell ref="C127:D127"/>
    <mergeCell ref="B125:B126"/>
    <mergeCell ref="B128:B130"/>
    <mergeCell ref="C114:D114"/>
    <mergeCell ref="C151:D151"/>
    <mergeCell ref="C150:D150"/>
    <mergeCell ref="C132:D132"/>
    <mergeCell ref="C145:D145"/>
    <mergeCell ref="C136:D136"/>
    <mergeCell ref="C128:C130"/>
    <mergeCell ref="B132:B144"/>
    <mergeCell ref="B146:B149"/>
    <mergeCell ref="C137:C144"/>
    <mergeCell ref="C73:D73"/>
    <mergeCell ref="B76:B79"/>
    <mergeCell ref="C105:D105"/>
    <mergeCell ref="C103:D103"/>
    <mergeCell ref="C84:D84"/>
    <mergeCell ref="C101:D101"/>
    <mergeCell ref="B81:B83"/>
    <mergeCell ref="C46:D46"/>
    <mergeCell ref="C80:D80"/>
    <mergeCell ref="C51:D51"/>
    <mergeCell ref="B52:B64"/>
    <mergeCell ref="B66:B68"/>
    <mergeCell ref="C65:D65"/>
    <mergeCell ref="B70:B72"/>
    <mergeCell ref="C75:D75"/>
    <mergeCell ref="C69:D69"/>
    <mergeCell ref="C52:D52"/>
    <mergeCell ref="B36:B39"/>
    <mergeCell ref="B47:B50"/>
    <mergeCell ref="C26:D26"/>
    <mergeCell ref="B1:D1"/>
    <mergeCell ref="B2:B3"/>
    <mergeCell ref="C2:C3"/>
    <mergeCell ref="D2:D3"/>
    <mergeCell ref="B5:B8"/>
    <mergeCell ref="C28:D28"/>
    <mergeCell ref="C42:D42"/>
    <mergeCell ref="C35:D35"/>
    <mergeCell ref="B19:B23"/>
    <mergeCell ref="B10:B12"/>
    <mergeCell ref="I2:I3"/>
    <mergeCell ref="H2:H3"/>
    <mergeCell ref="C4:D4"/>
    <mergeCell ref="C13:D13"/>
    <mergeCell ref="C9:D9"/>
    <mergeCell ref="G2:G3"/>
    <mergeCell ref="B184:D184"/>
    <mergeCell ref="F2:F3"/>
    <mergeCell ref="E2:E3"/>
    <mergeCell ref="C33:D33"/>
    <mergeCell ref="B29:B31"/>
    <mergeCell ref="B14:B17"/>
    <mergeCell ref="B43:B45"/>
    <mergeCell ref="C18:D18"/>
    <mergeCell ref="C40:D40"/>
    <mergeCell ref="C24:D24"/>
  </mergeCells>
  <printOptions/>
  <pageMargins left="0.4" right="0.25" top="0.48" bottom="0.16" header="0.27" footer="0.16"/>
  <pageSetup horizontalDpi="300" verticalDpi="300" orientation="portrait" paperSize="9" scale="85" r:id="rId1"/>
  <rowBreaks count="2" manualBreakCount="2">
    <brk id="64" max="255" man="1"/>
    <brk id="144" max="255" man="1"/>
  </rowBreaks>
  <ignoredErrors>
    <ignoredError sqref="C66:C68 C71" numberStoredAsText="1"/>
    <ignoredError sqref="B42 B46 B9 B103 B84 B105 B13 B73" twoDigitTextYear="1"/>
    <ignoredError sqref="E51:F52" formulaRange="1"/>
    <ignoredError sqref="F2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1:K60"/>
  <sheetViews>
    <sheetView showGridLines="0" zoomScalePageLayoutView="0" workbookViewId="0" topLeftCell="A45">
      <selection activeCell="J9" sqref="J9"/>
    </sheetView>
  </sheetViews>
  <sheetFormatPr defaultColWidth="9.140625" defaultRowHeight="12.75"/>
  <cols>
    <col min="1" max="1" width="1.421875" style="0" customWidth="1"/>
    <col min="2" max="2" width="8.140625" style="0" customWidth="1"/>
    <col min="3" max="3" width="7.7109375" style="79" customWidth="1"/>
    <col min="4" max="4" width="36.00390625" style="0" customWidth="1"/>
    <col min="5" max="6" width="11.28125" style="0" customWidth="1"/>
    <col min="7" max="7" width="13.421875" style="0" customWidth="1"/>
    <col min="8" max="8" width="11.57421875" style="0" customWidth="1"/>
    <col min="9" max="9" width="12.421875" style="0" customWidth="1"/>
    <col min="10" max="10" width="13.28125" style="0" customWidth="1"/>
  </cols>
  <sheetData>
    <row r="1" spans="2:8" ht="12.75">
      <c r="B1" s="662" t="s">
        <v>132</v>
      </c>
      <c r="C1" s="662"/>
      <c r="D1" s="662"/>
      <c r="E1" s="215"/>
      <c r="F1" s="215"/>
      <c r="G1" s="215"/>
      <c r="H1" s="215"/>
    </row>
    <row r="2" spans="2:8" ht="13.5" thickBot="1">
      <c r="B2" s="583" t="s">
        <v>133</v>
      </c>
      <c r="C2" s="583"/>
      <c r="D2" s="583"/>
      <c r="E2" s="214"/>
      <c r="F2" s="214"/>
      <c r="G2" s="214"/>
      <c r="H2" s="214"/>
    </row>
    <row r="3" spans="2:9" ht="15" customHeight="1" thickTop="1">
      <c r="B3" s="584" t="s">
        <v>109</v>
      </c>
      <c r="C3" s="665" t="s">
        <v>59</v>
      </c>
      <c r="D3" s="578" t="s">
        <v>124</v>
      </c>
      <c r="E3" s="578" t="s">
        <v>354</v>
      </c>
      <c r="F3" s="578" t="s">
        <v>353</v>
      </c>
      <c r="G3" s="578" t="s">
        <v>369</v>
      </c>
      <c r="H3" s="578" t="s">
        <v>370</v>
      </c>
      <c r="I3" s="580" t="s">
        <v>368</v>
      </c>
    </row>
    <row r="4" spans="2:9" ht="23.25" customHeight="1" thickBot="1">
      <c r="B4" s="585"/>
      <c r="C4" s="666"/>
      <c r="D4" s="579"/>
      <c r="E4" s="579"/>
      <c r="F4" s="579"/>
      <c r="G4" s="579"/>
      <c r="H4" s="579"/>
      <c r="I4" s="581"/>
    </row>
    <row r="5" spans="2:9" s="46" customFormat="1" ht="17.25" thickBot="1" thickTop="1">
      <c r="B5" s="428">
        <v>200</v>
      </c>
      <c r="C5" s="664" t="s">
        <v>116</v>
      </c>
      <c r="D5" s="562"/>
      <c r="E5" s="110">
        <f>E6</f>
        <v>74221</v>
      </c>
      <c r="F5" s="110">
        <f>F6</f>
        <v>98051</v>
      </c>
      <c r="G5" s="525">
        <f>G6</f>
        <v>223532.5</v>
      </c>
      <c r="H5" s="110">
        <f>H6</f>
        <v>212821</v>
      </c>
      <c r="I5" s="390">
        <f aca="true" t="shared" si="0" ref="I5:I54">IF(H5=0,0,ROUND((G5/H5)*100,2))</f>
        <v>105.03</v>
      </c>
    </row>
    <row r="6" spans="2:9" s="36" customFormat="1" ht="15.75" thickBot="1">
      <c r="B6" s="429">
        <v>230</v>
      </c>
      <c r="C6" s="606" t="s">
        <v>125</v>
      </c>
      <c r="D6" s="593"/>
      <c r="E6" s="162">
        <f>E7+E10</f>
        <v>74221</v>
      </c>
      <c r="F6" s="162">
        <f>F7+F10</f>
        <v>98051</v>
      </c>
      <c r="G6" s="526">
        <f>G7+G10</f>
        <v>223532.5</v>
      </c>
      <c r="H6" s="162">
        <f>H7+H10</f>
        <v>212821</v>
      </c>
      <c r="I6" s="366">
        <f t="shared" si="0"/>
        <v>105.03</v>
      </c>
    </row>
    <row r="7" spans="2:9" s="39" customFormat="1" ht="13.5" thickBot="1">
      <c r="B7" s="588"/>
      <c r="C7" s="425">
        <v>231</v>
      </c>
      <c r="D7" s="35" t="s">
        <v>129</v>
      </c>
      <c r="E7" s="152">
        <f>SUM(E8:E9)</f>
        <v>21933</v>
      </c>
      <c r="F7" s="152">
        <f>SUM(F8:F9)</f>
        <v>32153</v>
      </c>
      <c r="G7" s="527">
        <f>SUM(G8:G9)</f>
        <v>84811.72</v>
      </c>
      <c r="H7" s="152">
        <f>SUM(H8:H9)</f>
        <v>80000</v>
      </c>
      <c r="I7" s="190">
        <f t="shared" si="0"/>
        <v>106.01</v>
      </c>
    </row>
    <row r="8" spans="2:9" s="282" customFormat="1" ht="12.75">
      <c r="B8" s="589"/>
      <c r="C8" s="656"/>
      <c r="D8" s="289" t="s">
        <v>339</v>
      </c>
      <c r="E8" s="56">
        <v>21933</v>
      </c>
      <c r="F8" s="56">
        <v>23657</v>
      </c>
      <c r="G8" s="528">
        <v>83346.52</v>
      </c>
      <c r="H8" s="153">
        <v>80000</v>
      </c>
      <c r="I8" s="192">
        <f t="shared" si="0"/>
        <v>104.18</v>
      </c>
    </row>
    <row r="9" spans="2:9" s="282" customFormat="1" ht="13.5" thickBot="1">
      <c r="B9" s="589"/>
      <c r="C9" s="663"/>
      <c r="D9" s="53" t="s">
        <v>126</v>
      </c>
      <c r="E9" s="44"/>
      <c r="F9" s="336">
        <v>8496</v>
      </c>
      <c r="G9" s="529">
        <v>1465.2</v>
      </c>
      <c r="H9" s="155"/>
      <c r="I9" s="192">
        <f t="shared" si="0"/>
        <v>0</v>
      </c>
    </row>
    <row r="10" spans="2:9" s="282" customFormat="1" ht="13.5" thickBot="1">
      <c r="B10" s="589"/>
      <c r="C10" s="426">
        <v>233</v>
      </c>
      <c r="D10" s="1" t="s">
        <v>130</v>
      </c>
      <c r="E10" s="152">
        <f>SUM(E11:E15)</f>
        <v>52288</v>
      </c>
      <c r="F10" s="152">
        <f>SUM(F11:F15)</f>
        <v>65898</v>
      </c>
      <c r="G10" s="152">
        <f>SUM(G11:G15)</f>
        <v>138720.78</v>
      </c>
      <c r="H10" s="152">
        <f>SUM(H11:H15)</f>
        <v>132821</v>
      </c>
      <c r="I10" s="190">
        <f t="shared" si="0"/>
        <v>104.44</v>
      </c>
    </row>
    <row r="11" spans="2:11" s="282" customFormat="1" ht="12.75">
      <c r="B11" s="589"/>
      <c r="C11" s="656"/>
      <c r="D11" s="51" t="s">
        <v>296</v>
      </c>
      <c r="E11" s="184">
        <v>52288</v>
      </c>
      <c r="F11" s="184">
        <v>65898</v>
      </c>
      <c r="G11" s="184">
        <v>138720.78</v>
      </c>
      <c r="H11" s="153">
        <v>121821</v>
      </c>
      <c r="I11" s="192">
        <f t="shared" si="0"/>
        <v>113.87</v>
      </c>
      <c r="K11" s="293"/>
    </row>
    <row r="12" spans="2:11" s="39" customFormat="1" ht="12.75">
      <c r="B12" s="589"/>
      <c r="C12" s="657"/>
      <c r="D12" s="177" t="s">
        <v>293</v>
      </c>
      <c r="E12" s="332"/>
      <c r="F12" s="332"/>
      <c r="G12" s="332"/>
      <c r="H12" s="274">
        <v>4000</v>
      </c>
      <c r="I12" s="391">
        <f t="shared" si="0"/>
        <v>0</v>
      </c>
      <c r="K12" s="47"/>
    </row>
    <row r="13" spans="2:9" s="39" customFormat="1" ht="12.75" hidden="1">
      <c r="B13" s="589"/>
      <c r="C13" s="657"/>
      <c r="D13" s="177" t="s">
        <v>294</v>
      </c>
      <c r="E13" s="332"/>
      <c r="F13" s="332"/>
      <c r="G13" s="332"/>
      <c r="H13" s="274"/>
      <c r="I13" s="391">
        <f t="shared" si="0"/>
        <v>0</v>
      </c>
    </row>
    <row r="14" spans="2:9" s="39" customFormat="1" ht="12.75" hidden="1">
      <c r="B14" s="589"/>
      <c r="C14" s="657"/>
      <c r="D14" s="177" t="s">
        <v>295</v>
      </c>
      <c r="E14" s="332"/>
      <c r="F14" s="332"/>
      <c r="G14" s="332"/>
      <c r="H14" s="274"/>
      <c r="I14" s="391">
        <f t="shared" si="0"/>
        <v>0</v>
      </c>
    </row>
    <row r="15" spans="2:9" ht="13.5" thickBot="1">
      <c r="B15" s="589"/>
      <c r="C15" s="663"/>
      <c r="D15" s="53" t="s">
        <v>346</v>
      </c>
      <c r="E15" s="144"/>
      <c r="F15" s="144"/>
      <c r="G15" s="144"/>
      <c r="H15" s="155">
        <v>7000</v>
      </c>
      <c r="I15" s="192">
        <f t="shared" si="0"/>
        <v>0</v>
      </c>
    </row>
    <row r="16" spans="2:9" s="55" customFormat="1" ht="16.5" thickBot="1">
      <c r="B16" s="102">
        <v>300</v>
      </c>
      <c r="C16" s="599" t="s">
        <v>119</v>
      </c>
      <c r="D16" s="653"/>
      <c r="E16" s="220">
        <f>E17+E50</f>
        <v>4428553.06</v>
      </c>
      <c r="F16" s="220">
        <f>F17+F50</f>
        <v>3580446</v>
      </c>
      <c r="G16" s="220">
        <f>G17+G50</f>
        <v>994806.0900000001</v>
      </c>
      <c r="H16" s="220">
        <f>H17+H50</f>
        <v>3544988</v>
      </c>
      <c r="I16" s="392">
        <f t="shared" si="0"/>
        <v>28.06</v>
      </c>
    </row>
    <row r="17" spans="2:9" s="36" customFormat="1" ht="15.75" thickBot="1">
      <c r="B17" s="429">
        <v>320</v>
      </c>
      <c r="C17" s="606" t="s">
        <v>127</v>
      </c>
      <c r="D17" s="593"/>
      <c r="E17" s="221">
        <f>E18</f>
        <v>4408068.06</v>
      </c>
      <c r="F17" s="221">
        <f>F18</f>
        <v>3580446</v>
      </c>
      <c r="G17" s="221">
        <f>G18</f>
        <v>994806.0900000001</v>
      </c>
      <c r="H17" s="221">
        <f>H18</f>
        <v>3544988</v>
      </c>
      <c r="I17" s="393">
        <f t="shared" si="0"/>
        <v>28.06</v>
      </c>
    </row>
    <row r="18" spans="2:10" s="39" customFormat="1" ht="13.5" thickBot="1">
      <c r="B18" s="658"/>
      <c r="C18" s="425">
        <v>321</v>
      </c>
      <c r="D18" s="1" t="s">
        <v>121</v>
      </c>
      <c r="E18" s="222">
        <v>4408068.06</v>
      </c>
      <c r="F18" s="222">
        <f>SUM(F19:F49)</f>
        <v>3580446</v>
      </c>
      <c r="G18" s="539">
        <f>SUM(G19:G49)</f>
        <v>994806.0900000001</v>
      </c>
      <c r="H18" s="50">
        <f>SUM(H19:H49)</f>
        <v>3544988</v>
      </c>
      <c r="I18" s="534">
        <f t="shared" si="0"/>
        <v>28.06</v>
      </c>
      <c r="J18" s="47"/>
    </row>
    <row r="19" spans="2:10" ht="12.75">
      <c r="B19" s="659"/>
      <c r="C19" s="660"/>
      <c r="D19" s="181" t="s">
        <v>309</v>
      </c>
      <c r="E19" s="56"/>
      <c r="F19" s="56"/>
      <c r="G19" s="501"/>
      <c r="H19" s="49">
        <v>30000</v>
      </c>
      <c r="I19" s="380">
        <f t="shared" si="0"/>
        <v>0</v>
      </c>
      <c r="J19" s="34"/>
    </row>
    <row r="20" spans="2:9" ht="12.75">
      <c r="B20" s="659"/>
      <c r="C20" s="661"/>
      <c r="D20" s="183" t="s">
        <v>352</v>
      </c>
      <c r="E20" s="56"/>
      <c r="F20" s="56">
        <v>1000000</v>
      </c>
      <c r="G20" s="501"/>
      <c r="H20" s="49">
        <v>1000000</v>
      </c>
      <c r="I20" s="380">
        <f t="shared" si="0"/>
        <v>0</v>
      </c>
    </row>
    <row r="21" spans="2:11" ht="12.75">
      <c r="B21" s="659"/>
      <c r="C21" s="661"/>
      <c r="D21" s="183" t="s">
        <v>328</v>
      </c>
      <c r="E21" s="56">
        <v>344900</v>
      </c>
      <c r="F21" s="56"/>
      <c r="G21" s="501">
        <v>341900</v>
      </c>
      <c r="H21" s="49">
        <v>341900</v>
      </c>
      <c r="I21" s="380">
        <f t="shared" si="0"/>
        <v>100</v>
      </c>
      <c r="K21" s="34"/>
    </row>
    <row r="22" spans="2:9" ht="12.75">
      <c r="B22" s="659"/>
      <c r="C22" s="661"/>
      <c r="D22" s="52" t="s">
        <v>331</v>
      </c>
      <c r="E22" s="184"/>
      <c r="F22" s="184"/>
      <c r="G22" s="507">
        <v>68448.02</v>
      </c>
      <c r="H22" s="49">
        <v>104632</v>
      </c>
      <c r="I22" s="380">
        <f t="shared" si="0"/>
        <v>65.42</v>
      </c>
    </row>
    <row r="23" spans="2:9" ht="12.75">
      <c r="B23" s="659"/>
      <c r="C23" s="661"/>
      <c r="D23" s="52" t="s">
        <v>377</v>
      </c>
      <c r="E23" s="184"/>
      <c r="F23" s="184"/>
      <c r="G23" s="507"/>
      <c r="H23" s="49">
        <v>6945</v>
      </c>
      <c r="I23" s="380">
        <f t="shared" si="0"/>
        <v>0</v>
      </c>
    </row>
    <row r="24" spans="2:10" ht="12.75">
      <c r="B24" s="659"/>
      <c r="C24" s="661"/>
      <c r="D24" s="292" t="s">
        <v>345</v>
      </c>
      <c r="E24" s="327"/>
      <c r="F24" s="327">
        <v>5000</v>
      </c>
      <c r="G24" s="540"/>
      <c r="H24" s="49">
        <v>5000</v>
      </c>
      <c r="I24" s="380">
        <f t="shared" si="0"/>
        <v>0</v>
      </c>
      <c r="J24" s="34"/>
    </row>
    <row r="25" spans="2:9" ht="15">
      <c r="B25" s="430"/>
      <c r="C25" s="661"/>
      <c r="D25" s="52" t="s">
        <v>340</v>
      </c>
      <c r="E25" s="42"/>
      <c r="F25" s="42">
        <v>30000</v>
      </c>
      <c r="G25" s="508"/>
      <c r="H25" s="43">
        <v>30000</v>
      </c>
      <c r="I25" s="381">
        <f t="shared" si="0"/>
        <v>0</v>
      </c>
    </row>
    <row r="26" spans="2:9" ht="15" hidden="1">
      <c r="B26" s="430"/>
      <c r="C26" s="661"/>
      <c r="D26" s="52" t="s">
        <v>348</v>
      </c>
      <c r="E26" s="42"/>
      <c r="F26" s="42"/>
      <c r="G26" s="508"/>
      <c r="H26" s="43">
        <v>9910</v>
      </c>
      <c r="I26" s="381">
        <f t="shared" si="0"/>
        <v>0</v>
      </c>
    </row>
    <row r="27" spans="2:9" ht="15">
      <c r="B27" s="430"/>
      <c r="C27" s="661"/>
      <c r="D27" s="52" t="s">
        <v>290</v>
      </c>
      <c r="E27" s="42"/>
      <c r="F27" s="42">
        <v>545973</v>
      </c>
      <c r="G27" s="508">
        <v>172578.07</v>
      </c>
      <c r="H27" s="43">
        <v>171790</v>
      </c>
      <c r="I27" s="381">
        <f t="shared" si="0"/>
        <v>100.46</v>
      </c>
    </row>
    <row r="28" spans="2:10" ht="15" hidden="1">
      <c r="B28" s="430"/>
      <c r="C28" s="661"/>
      <c r="D28" s="52" t="s">
        <v>334</v>
      </c>
      <c r="E28" s="42"/>
      <c r="F28" s="42"/>
      <c r="G28" s="508"/>
      <c r="H28" s="43">
        <v>19798</v>
      </c>
      <c r="I28" s="381">
        <f t="shared" si="0"/>
        <v>0</v>
      </c>
      <c r="J28" s="34"/>
    </row>
    <row r="29" spans="2:9" ht="15">
      <c r="B29" s="430"/>
      <c r="C29" s="661"/>
      <c r="D29" s="57" t="s">
        <v>378</v>
      </c>
      <c r="E29" s="184"/>
      <c r="F29" s="184"/>
      <c r="G29" s="507">
        <v>411880</v>
      </c>
      <c r="H29" s="43">
        <v>411880</v>
      </c>
      <c r="I29" s="381">
        <f t="shared" si="0"/>
        <v>100</v>
      </c>
    </row>
    <row r="30" spans="2:9" ht="15">
      <c r="B30" s="430"/>
      <c r="C30" s="661"/>
      <c r="D30" s="57" t="s">
        <v>376</v>
      </c>
      <c r="E30" s="184"/>
      <c r="F30" s="184"/>
      <c r="G30" s="184"/>
      <c r="H30" s="43">
        <v>0</v>
      </c>
      <c r="I30" s="381">
        <f t="shared" si="0"/>
        <v>0</v>
      </c>
    </row>
    <row r="31" spans="2:9" ht="15">
      <c r="B31" s="430"/>
      <c r="C31" s="661"/>
      <c r="D31" s="57" t="s">
        <v>379</v>
      </c>
      <c r="E31" s="184"/>
      <c r="F31" s="184"/>
      <c r="G31" s="184"/>
      <c r="H31" s="43">
        <v>0</v>
      </c>
      <c r="I31" s="381">
        <f t="shared" si="0"/>
        <v>0</v>
      </c>
    </row>
    <row r="32" spans="2:9" ht="15">
      <c r="B32" s="430"/>
      <c r="C32" s="661"/>
      <c r="D32" s="57" t="s">
        <v>380</v>
      </c>
      <c r="E32" s="184"/>
      <c r="F32" s="184"/>
      <c r="G32" s="184"/>
      <c r="H32" s="43">
        <v>21428</v>
      </c>
      <c r="I32" s="381">
        <f t="shared" si="0"/>
        <v>0</v>
      </c>
    </row>
    <row r="33" spans="2:9" ht="15">
      <c r="B33" s="430"/>
      <c r="C33" s="661"/>
      <c r="D33" s="57" t="s">
        <v>360</v>
      </c>
      <c r="E33" s="184"/>
      <c r="F33" s="184">
        <v>1509</v>
      </c>
      <c r="G33" s="184"/>
      <c r="H33" s="43">
        <v>0</v>
      </c>
      <c r="I33" s="381">
        <f t="shared" si="0"/>
        <v>0</v>
      </c>
    </row>
    <row r="34" spans="2:9" ht="15">
      <c r="B34" s="430"/>
      <c r="C34" s="661"/>
      <c r="D34" s="52" t="s">
        <v>359</v>
      </c>
      <c r="E34" s="42"/>
      <c r="F34" s="42">
        <f>17483+2623</f>
        <v>20106</v>
      </c>
      <c r="G34" s="42"/>
      <c r="H34" s="43">
        <v>0</v>
      </c>
      <c r="I34" s="381">
        <f t="shared" si="0"/>
        <v>0</v>
      </c>
    </row>
    <row r="35" spans="2:9" ht="15">
      <c r="B35" s="430"/>
      <c r="C35" s="661"/>
      <c r="D35" s="52" t="s">
        <v>358</v>
      </c>
      <c r="E35" s="42"/>
      <c r="F35" s="42">
        <v>17459</v>
      </c>
      <c r="G35" s="42"/>
      <c r="H35" s="43">
        <v>0</v>
      </c>
      <c r="I35" s="381">
        <f t="shared" si="0"/>
        <v>0</v>
      </c>
    </row>
    <row r="36" spans="2:9" ht="15">
      <c r="B36" s="430"/>
      <c r="C36" s="661"/>
      <c r="D36" s="52" t="s">
        <v>357</v>
      </c>
      <c r="E36" s="42"/>
      <c r="F36" s="42">
        <v>95000</v>
      </c>
      <c r="G36" s="42"/>
      <c r="H36" s="43">
        <v>0</v>
      </c>
      <c r="I36" s="381">
        <f t="shared" si="0"/>
        <v>0</v>
      </c>
    </row>
    <row r="37" spans="2:9" ht="15">
      <c r="B37" s="430"/>
      <c r="C37" s="661"/>
      <c r="D37" s="52" t="s">
        <v>356</v>
      </c>
      <c r="E37" s="42"/>
      <c r="F37" s="42">
        <v>8000</v>
      </c>
      <c r="G37" s="42"/>
      <c r="H37" s="43">
        <v>0</v>
      </c>
      <c r="I37" s="381">
        <f t="shared" si="0"/>
        <v>0</v>
      </c>
    </row>
    <row r="38" spans="2:9" ht="15">
      <c r="B38" s="430"/>
      <c r="C38" s="661"/>
      <c r="D38" s="52" t="s">
        <v>361</v>
      </c>
      <c r="E38" s="42"/>
      <c r="F38" s="42">
        <v>203803</v>
      </c>
      <c r="G38" s="42"/>
      <c r="H38" s="43">
        <v>0</v>
      </c>
      <c r="I38" s="381">
        <f t="shared" si="0"/>
        <v>0</v>
      </c>
    </row>
    <row r="39" spans="2:9" ht="15">
      <c r="B39" s="430"/>
      <c r="C39" s="661"/>
      <c r="D39" s="52" t="s">
        <v>381</v>
      </c>
      <c r="E39" s="42"/>
      <c r="F39" s="42"/>
      <c r="G39" s="42"/>
      <c r="H39" s="43">
        <v>24087</v>
      </c>
      <c r="I39" s="381">
        <f t="shared" si="0"/>
        <v>0</v>
      </c>
    </row>
    <row r="40" spans="2:9" ht="15">
      <c r="B40" s="430"/>
      <c r="C40" s="661"/>
      <c r="D40" s="52" t="s">
        <v>382</v>
      </c>
      <c r="E40" s="42"/>
      <c r="F40" s="42"/>
      <c r="G40" s="42"/>
      <c r="H40" s="43">
        <v>1367618</v>
      </c>
      <c r="I40" s="381">
        <f t="shared" si="0"/>
        <v>0</v>
      </c>
    </row>
    <row r="41" spans="2:9" ht="15">
      <c r="B41" s="430"/>
      <c r="C41" s="661"/>
      <c r="D41" s="52" t="s">
        <v>355</v>
      </c>
      <c r="E41" s="42"/>
      <c r="F41" s="42">
        <v>1653596</v>
      </c>
      <c r="G41" s="42"/>
      <c r="H41" s="337"/>
      <c r="I41" s="381">
        <f t="shared" si="0"/>
        <v>0</v>
      </c>
    </row>
    <row r="42" spans="2:9" ht="15">
      <c r="B42" s="430"/>
      <c r="C42" s="661"/>
      <c r="D42" s="52"/>
      <c r="E42" s="42"/>
      <c r="F42" s="42"/>
      <c r="G42" s="42"/>
      <c r="H42" s="337"/>
      <c r="I42" s="381">
        <f t="shared" si="0"/>
        <v>0</v>
      </c>
    </row>
    <row r="43" spans="2:9" ht="15">
      <c r="B43" s="430"/>
      <c r="C43" s="661"/>
      <c r="D43" s="52"/>
      <c r="E43" s="42"/>
      <c r="F43" s="42"/>
      <c r="G43" s="42"/>
      <c r="H43" s="337"/>
      <c r="I43" s="381">
        <f t="shared" si="0"/>
        <v>0</v>
      </c>
    </row>
    <row r="44" spans="2:9" ht="15">
      <c r="B44" s="430"/>
      <c r="C44" s="661"/>
      <c r="D44" s="52"/>
      <c r="E44" s="42"/>
      <c r="F44" s="42"/>
      <c r="G44" s="42"/>
      <c r="H44" s="337"/>
      <c r="I44" s="381">
        <f t="shared" si="0"/>
        <v>0</v>
      </c>
    </row>
    <row r="45" spans="2:9" ht="15">
      <c r="B45" s="430"/>
      <c r="C45" s="661"/>
      <c r="D45" s="52"/>
      <c r="E45" s="42"/>
      <c r="F45" s="42"/>
      <c r="G45" s="42"/>
      <c r="H45" s="337"/>
      <c r="I45" s="381">
        <f t="shared" si="0"/>
        <v>0</v>
      </c>
    </row>
    <row r="46" spans="2:9" ht="15">
      <c r="B46" s="430"/>
      <c r="C46" s="661"/>
      <c r="D46" s="52"/>
      <c r="E46" s="42"/>
      <c r="F46" s="42"/>
      <c r="G46" s="42"/>
      <c r="H46" s="337"/>
      <c r="I46" s="381">
        <f t="shared" si="0"/>
        <v>0</v>
      </c>
    </row>
    <row r="47" spans="2:9" ht="15">
      <c r="B47" s="430"/>
      <c r="C47" s="661"/>
      <c r="D47" s="52"/>
      <c r="E47" s="42"/>
      <c r="F47" s="42"/>
      <c r="G47" s="42"/>
      <c r="H47" s="337"/>
      <c r="I47" s="381">
        <f t="shared" si="0"/>
        <v>0</v>
      </c>
    </row>
    <row r="48" spans="2:9" ht="15">
      <c r="B48" s="430"/>
      <c r="C48" s="661"/>
      <c r="D48" s="52"/>
      <c r="E48" s="42"/>
      <c r="F48" s="42"/>
      <c r="G48" s="42"/>
      <c r="H48" s="337"/>
      <c r="I48" s="381">
        <f t="shared" si="0"/>
        <v>0</v>
      </c>
    </row>
    <row r="49" spans="2:9" ht="15.75" thickBot="1">
      <c r="B49" s="430"/>
      <c r="C49" s="661"/>
      <c r="D49" s="52"/>
      <c r="E49" s="42"/>
      <c r="F49" s="42"/>
      <c r="G49" s="42"/>
      <c r="H49" s="535"/>
      <c r="I49" s="381">
        <f t="shared" si="0"/>
        <v>0</v>
      </c>
    </row>
    <row r="50" spans="2:9" s="36" customFormat="1" ht="15.75" thickBot="1">
      <c r="B50" s="429">
        <v>330</v>
      </c>
      <c r="C50" s="606" t="s">
        <v>107</v>
      </c>
      <c r="D50" s="593"/>
      <c r="E50" s="275">
        <f aca="true" t="shared" si="1" ref="E50:G51">E51</f>
        <v>20485</v>
      </c>
      <c r="F50" s="275">
        <f t="shared" si="1"/>
        <v>0</v>
      </c>
      <c r="G50" s="275">
        <f t="shared" si="1"/>
        <v>0</v>
      </c>
      <c r="H50" s="275">
        <f>H51</f>
        <v>0</v>
      </c>
      <c r="I50" s="394">
        <f t="shared" si="0"/>
        <v>0</v>
      </c>
    </row>
    <row r="51" spans="2:9" ht="13.5" thickBot="1">
      <c r="B51" s="654"/>
      <c r="C51" s="426">
        <v>332</v>
      </c>
      <c r="D51" s="1" t="s">
        <v>131</v>
      </c>
      <c r="E51" s="35">
        <f t="shared" si="1"/>
        <v>20485</v>
      </c>
      <c r="F51" s="35">
        <f t="shared" si="1"/>
        <v>0</v>
      </c>
      <c r="G51" s="35">
        <f t="shared" si="1"/>
        <v>0</v>
      </c>
      <c r="H51" s="35">
        <f>H52</f>
        <v>0</v>
      </c>
      <c r="I51" s="190">
        <f t="shared" si="0"/>
        <v>0</v>
      </c>
    </row>
    <row r="52" spans="2:9" ht="12.75">
      <c r="B52" s="655"/>
      <c r="C52" s="656"/>
      <c r="D52" s="181" t="s">
        <v>229</v>
      </c>
      <c r="E52" s="56">
        <v>20485</v>
      </c>
      <c r="F52" s="56"/>
      <c r="G52" s="56"/>
      <c r="H52" s="156"/>
      <c r="I52" s="192">
        <f t="shared" si="0"/>
        <v>0</v>
      </c>
    </row>
    <row r="53" spans="2:9" ht="13.5" thickBot="1">
      <c r="B53" s="655"/>
      <c r="C53" s="657"/>
      <c r="D53" s="3"/>
      <c r="E53" s="144"/>
      <c r="F53" s="144"/>
      <c r="G53" s="144"/>
      <c r="H53" s="155"/>
      <c r="I53" s="192">
        <f t="shared" si="0"/>
        <v>0</v>
      </c>
    </row>
    <row r="54" spans="2:9" s="46" customFormat="1" ht="17.25" thickBot="1" thickTop="1">
      <c r="B54" s="431"/>
      <c r="C54" s="427"/>
      <c r="D54" s="71" t="s">
        <v>128</v>
      </c>
      <c r="E54" s="72">
        <f>E16+E5</f>
        <v>4502774.06</v>
      </c>
      <c r="F54" s="72">
        <f>F16+F5</f>
        <v>3678497</v>
      </c>
      <c r="G54" s="72">
        <f>G16+G5</f>
        <v>1218338.59</v>
      </c>
      <c r="H54" s="72">
        <f>H16+H5</f>
        <v>3757809</v>
      </c>
      <c r="I54" s="375">
        <f t="shared" si="0"/>
        <v>32.42</v>
      </c>
    </row>
    <row r="55" ht="13.5" thickTop="1"/>
    <row r="58" ht="12.75">
      <c r="I58" s="34"/>
    </row>
    <row r="60" ht="12.75">
      <c r="I60" s="34"/>
    </row>
  </sheetData>
  <sheetProtection/>
  <mergeCells count="22">
    <mergeCell ref="I3:I4"/>
    <mergeCell ref="H3:H4"/>
    <mergeCell ref="C6:D6"/>
    <mergeCell ref="C5:D5"/>
    <mergeCell ref="D3:D4"/>
    <mergeCell ref="C3:C4"/>
    <mergeCell ref="F3:F4"/>
    <mergeCell ref="E3:E4"/>
    <mergeCell ref="G3:G4"/>
    <mergeCell ref="B1:D1"/>
    <mergeCell ref="B2:D2"/>
    <mergeCell ref="B7:B15"/>
    <mergeCell ref="B3:B4"/>
    <mergeCell ref="C8:C9"/>
    <mergeCell ref="C11:C15"/>
    <mergeCell ref="C16:D16"/>
    <mergeCell ref="B51:B53"/>
    <mergeCell ref="C52:C53"/>
    <mergeCell ref="B18:B24"/>
    <mergeCell ref="C50:D50"/>
    <mergeCell ref="C19:C49"/>
    <mergeCell ref="C17:D17"/>
  </mergeCells>
  <printOptions/>
  <pageMargins left="0.6" right="0.21" top="0.45" bottom="0.22" header="0.4921259845" footer="0.4921259845"/>
  <pageSetup horizontalDpi="300" verticalDpi="3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L98"/>
  <sheetViews>
    <sheetView showGridLines="0" zoomScale="60" zoomScaleNormal="60" zoomScalePageLayoutView="0" workbookViewId="0" topLeftCell="A1">
      <selection activeCell="I80" sqref="I80"/>
    </sheetView>
  </sheetViews>
  <sheetFormatPr defaultColWidth="9.140625" defaultRowHeight="12.75"/>
  <cols>
    <col min="1" max="1" width="1.421875" style="39" customWidth="1"/>
    <col min="2" max="2" width="10.421875" style="39" customWidth="1"/>
    <col min="3" max="3" width="8.140625" style="39" customWidth="1"/>
    <col min="4" max="4" width="31.8515625" style="39" customWidth="1"/>
    <col min="5" max="6" width="11.8515625" style="39" customWidth="1"/>
    <col min="7" max="7" width="14.28125" style="39" customWidth="1"/>
    <col min="8" max="9" width="11.421875" style="39" customWidth="1"/>
    <col min="10" max="10" width="9.140625" style="39" customWidth="1"/>
    <col min="11" max="11" width="11.421875" style="39" bestFit="1" customWidth="1"/>
    <col min="12" max="12" width="14.7109375" style="39" customWidth="1"/>
    <col min="13" max="16384" width="9.140625" style="39" customWidth="1"/>
  </cols>
  <sheetData>
    <row r="1" spans="2:9" ht="13.5" thickBot="1">
      <c r="B1" s="673" t="s">
        <v>134</v>
      </c>
      <c r="C1" s="673"/>
      <c r="D1" s="673"/>
      <c r="E1" s="223"/>
      <c r="F1" s="223"/>
      <c r="G1" s="223"/>
      <c r="H1" s="223"/>
      <c r="I1" s="223"/>
    </row>
    <row r="2" spans="2:9" ht="13.5" customHeight="1" thickTop="1">
      <c r="B2" s="619" t="s">
        <v>58</v>
      </c>
      <c r="C2" s="674" t="s">
        <v>59</v>
      </c>
      <c r="D2" s="623" t="s">
        <v>60</v>
      </c>
      <c r="E2" s="578" t="s">
        <v>354</v>
      </c>
      <c r="F2" s="578" t="s">
        <v>353</v>
      </c>
      <c r="G2" s="578" t="s">
        <v>369</v>
      </c>
      <c r="H2" s="578" t="s">
        <v>370</v>
      </c>
      <c r="I2" s="580" t="s">
        <v>368</v>
      </c>
    </row>
    <row r="3" spans="2:9" ht="25.5" customHeight="1" thickBot="1">
      <c r="B3" s="620"/>
      <c r="C3" s="675"/>
      <c r="D3" s="624"/>
      <c r="E3" s="579"/>
      <c r="F3" s="579"/>
      <c r="G3" s="579"/>
      <c r="H3" s="579"/>
      <c r="I3" s="581"/>
    </row>
    <row r="4" spans="2:9" s="36" customFormat="1" ht="16.5" thickBot="1" thickTop="1">
      <c r="B4" s="70" t="s">
        <v>62</v>
      </c>
      <c r="C4" s="672" t="s">
        <v>135</v>
      </c>
      <c r="D4" s="672"/>
      <c r="E4" s="277">
        <f>E5+E6</f>
        <v>0</v>
      </c>
      <c r="F4" s="277">
        <f>F5+F6</f>
        <v>0</v>
      </c>
      <c r="G4" s="277"/>
      <c r="H4" s="277">
        <v>15000</v>
      </c>
      <c r="I4" s="555">
        <f aca="true" t="shared" si="0" ref="I4:I67">IF(H4=0,0,ROUND((G4/H4)*100,2))</f>
        <v>0</v>
      </c>
    </row>
    <row r="5" spans="2:9" ht="12.75">
      <c r="B5" s="671"/>
      <c r="C5" s="676"/>
      <c r="D5" s="57" t="s">
        <v>337</v>
      </c>
      <c r="E5" s="184"/>
      <c r="F5" s="184"/>
      <c r="G5" s="184"/>
      <c r="H5" s="153">
        <v>15000</v>
      </c>
      <c r="I5" s="192">
        <f t="shared" si="0"/>
        <v>0</v>
      </c>
    </row>
    <row r="6" spans="2:9" ht="13.5" thickBot="1">
      <c r="B6" s="668"/>
      <c r="C6" s="677"/>
      <c r="D6" s="57" t="s">
        <v>338</v>
      </c>
      <c r="E6" s="184"/>
      <c r="F6" s="184"/>
      <c r="G6" s="184"/>
      <c r="H6" s="153">
        <v>0</v>
      </c>
      <c r="I6" s="192">
        <f t="shared" si="0"/>
        <v>0</v>
      </c>
    </row>
    <row r="7" spans="2:11" s="36" customFormat="1" ht="15.75" thickBot="1">
      <c r="B7" s="64" t="s">
        <v>154</v>
      </c>
      <c r="C7" s="678" t="s">
        <v>13</v>
      </c>
      <c r="D7" s="678"/>
      <c r="E7" s="33">
        <v>0</v>
      </c>
      <c r="F7" s="33">
        <f>SUM(F8:F9)</f>
        <v>10398</v>
      </c>
      <c r="G7" s="33"/>
      <c r="H7" s="33">
        <v>0</v>
      </c>
      <c r="I7" s="366">
        <f t="shared" si="0"/>
        <v>0</v>
      </c>
      <c r="K7" s="543"/>
    </row>
    <row r="8" spans="2:11" ht="14.25">
      <c r="B8" s="86"/>
      <c r="C8" s="676"/>
      <c r="D8" s="51" t="s">
        <v>215</v>
      </c>
      <c r="E8" s="40"/>
      <c r="F8" s="40">
        <v>10398</v>
      </c>
      <c r="G8" s="40"/>
      <c r="H8" s="173">
        <v>0</v>
      </c>
      <c r="I8" s="373">
        <f t="shared" si="0"/>
        <v>0</v>
      </c>
      <c r="K8" s="543"/>
    </row>
    <row r="9" spans="2:11" ht="15" thickBot="1">
      <c r="B9" s="86"/>
      <c r="C9" s="677"/>
      <c r="D9" s="3"/>
      <c r="E9" s="144"/>
      <c r="F9" s="144"/>
      <c r="G9" s="144"/>
      <c r="H9" s="155">
        <v>0</v>
      </c>
      <c r="I9" s="193">
        <f t="shared" si="0"/>
        <v>0</v>
      </c>
      <c r="K9" s="543"/>
    </row>
    <row r="10" spans="2:11" s="36" customFormat="1" ht="15.75" thickBot="1">
      <c r="B10" s="64" t="s">
        <v>136</v>
      </c>
      <c r="C10" s="678" t="s">
        <v>137</v>
      </c>
      <c r="D10" s="678"/>
      <c r="E10" s="33">
        <v>421522</v>
      </c>
      <c r="F10" s="33">
        <f>SUM(F11:F19)</f>
        <v>2058954</v>
      </c>
      <c r="G10" s="389">
        <f>SUM(G11:G19)</f>
        <v>108548.12</v>
      </c>
      <c r="H10" s="33">
        <v>1899851</v>
      </c>
      <c r="I10" s="366">
        <f t="shared" si="0"/>
        <v>5.71</v>
      </c>
      <c r="K10" s="543"/>
    </row>
    <row r="11" spans="2:11" ht="14.25">
      <c r="B11" s="667"/>
      <c r="C11" s="669"/>
      <c r="D11" s="57" t="s">
        <v>274</v>
      </c>
      <c r="E11" s="184"/>
      <c r="F11" s="184">
        <f>46271+1100</f>
        <v>47371</v>
      </c>
      <c r="G11" s="184">
        <v>31209.2</v>
      </c>
      <c r="H11" s="153">
        <v>31000</v>
      </c>
      <c r="I11" s="192">
        <f t="shared" si="0"/>
        <v>100.67</v>
      </c>
      <c r="K11" s="543"/>
    </row>
    <row r="12" spans="2:11" ht="14.25">
      <c r="B12" s="667"/>
      <c r="C12" s="669"/>
      <c r="D12" s="52" t="s">
        <v>246</v>
      </c>
      <c r="E12" s="184"/>
      <c r="F12" s="184">
        <v>282056</v>
      </c>
      <c r="G12" s="184">
        <v>1834.02</v>
      </c>
      <c r="H12" s="153">
        <v>0</v>
      </c>
      <c r="I12" s="192">
        <f t="shared" si="0"/>
        <v>0</v>
      </c>
      <c r="K12" s="543"/>
    </row>
    <row r="13" spans="2:11" ht="14.25">
      <c r="B13" s="667"/>
      <c r="C13" s="669"/>
      <c r="D13" s="292" t="s">
        <v>345</v>
      </c>
      <c r="E13" s="338"/>
      <c r="F13" s="338"/>
      <c r="G13" s="338">
        <v>5000</v>
      </c>
      <c r="H13" s="43">
        <v>5000</v>
      </c>
      <c r="I13" s="192">
        <f t="shared" si="0"/>
        <v>100</v>
      </c>
      <c r="J13" s="47"/>
      <c r="K13" s="543"/>
    </row>
    <row r="14" spans="2:11" ht="14.25">
      <c r="B14" s="667"/>
      <c r="C14" s="669"/>
      <c r="D14" s="52" t="s">
        <v>273</v>
      </c>
      <c r="E14" s="184"/>
      <c r="F14" s="184">
        <f>709262+171790</f>
        <v>881052</v>
      </c>
      <c r="G14" s="184">
        <v>70504.9</v>
      </c>
      <c r="H14" s="153">
        <v>76005</v>
      </c>
      <c r="I14" s="192">
        <f t="shared" si="0"/>
        <v>92.76</v>
      </c>
      <c r="J14" s="47"/>
      <c r="K14" s="543"/>
    </row>
    <row r="15" spans="2:11" ht="14.25">
      <c r="B15" s="667"/>
      <c r="C15" s="669"/>
      <c r="D15" s="52" t="s">
        <v>347</v>
      </c>
      <c r="E15" s="184"/>
      <c r="F15" s="184"/>
      <c r="G15" s="184"/>
      <c r="H15" s="153">
        <v>1787846</v>
      </c>
      <c r="I15" s="192">
        <f t="shared" si="0"/>
        <v>0</v>
      </c>
      <c r="J15" s="47"/>
      <c r="K15" s="543"/>
    </row>
    <row r="16" spans="2:11" ht="14.25">
      <c r="B16" s="667"/>
      <c r="C16" s="669"/>
      <c r="D16" s="52" t="s">
        <v>357</v>
      </c>
      <c r="E16" s="184"/>
      <c r="F16" s="184">
        <v>100004</v>
      </c>
      <c r="G16" s="184"/>
      <c r="H16" s="153">
        <v>0</v>
      </c>
      <c r="I16" s="192">
        <f t="shared" si="0"/>
        <v>0</v>
      </c>
      <c r="J16" s="47"/>
      <c r="K16" s="543"/>
    </row>
    <row r="17" spans="2:11" ht="14.25" hidden="1">
      <c r="B17" s="667"/>
      <c r="C17" s="669"/>
      <c r="D17" s="52" t="s">
        <v>383</v>
      </c>
      <c r="E17" s="184"/>
      <c r="F17" s="184"/>
      <c r="G17" s="184"/>
      <c r="H17" s="153">
        <v>0</v>
      </c>
      <c r="I17" s="192">
        <f t="shared" si="0"/>
        <v>0</v>
      </c>
      <c r="J17" s="47"/>
      <c r="K17" s="543"/>
    </row>
    <row r="18" spans="2:11" ht="14.25">
      <c r="B18" s="667"/>
      <c r="C18" s="669"/>
      <c r="D18" s="52" t="s">
        <v>319</v>
      </c>
      <c r="E18" s="184"/>
      <c r="F18" s="184"/>
      <c r="G18" s="184"/>
      <c r="H18" s="153">
        <v>0</v>
      </c>
      <c r="I18" s="192">
        <f t="shared" si="0"/>
        <v>0</v>
      </c>
      <c r="J18" s="47"/>
      <c r="K18" s="543"/>
    </row>
    <row r="19" spans="2:11" ht="15" thickBot="1">
      <c r="B19" s="668"/>
      <c r="C19" s="670"/>
      <c r="D19" s="3" t="s">
        <v>232</v>
      </c>
      <c r="E19" s="144"/>
      <c r="F19" s="144">
        <f>253062+495409</f>
        <v>748471</v>
      </c>
      <c r="G19" s="144"/>
      <c r="H19" s="155">
        <v>0</v>
      </c>
      <c r="I19" s="193">
        <f t="shared" si="0"/>
        <v>0</v>
      </c>
      <c r="J19" s="47"/>
      <c r="K19" s="543"/>
    </row>
    <row r="20" spans="2:11" s="36" customFormat="1" ht="15.75" thickBot="1">
      <c r="B20" s="88" t="s">
        <v>138</v>
      </c>
      <c r="C20" s="592" t="s">
        <v>139</v>
      </c>
      <c r="D20" s="593"/>
      <c r="E20" s="33">
        <v>79908</v>
      </c>
      <c r="F20" s="33"/>
      <c r="G20" s="389">
        <f>SUM(G21:G25)</f>
        <v>75693</v>
      </c>
      <c r="H20" s="33">
        <v>76454</v>
      </c>
      <c r="I20" s="366">
        <f t="shared" si="0"/>
        <v>99</v>
      </c>
      <c r="K20" s="543"/>
    </row>
    <row r="21" spans="2:11" ht="14.25">
      <c r="B21" s="86"/>
      <c r="C21" s="60"/>
      <c r="D21" s="52" t="s">
        <v>334</v>
      </c>
      <c r="E21" s="184"/>
      <c r="F21" s="184"/>
      <c r="G21" s="184">
        <v>23757.12</v>
      </c>
      <c r="H21" s="153">
        <v>24589</v>
      </c>
      <c r="I21" s="192">
        <f t="shared" si="0"/>
        <v>96.62</v>
      </c>
      <c r="K21" s="543"/>
    </row>
    <row r="22" spans="2:11" ht="14.25">
      <c r="B22" s="86"/>
      <c r="C22" s="60"/>
      <c r="D22" s="52" t="s">
        <v>381</v>
      </c>
      <c r="E22" s="184"/>
      <c r="F22" s="184"/>
      <c r="G22" s="184">
        <v>29104.44</v>
      </c>
      <c r="H22" s="153">
        <v>28905</v>
      </c>
      <c r="I22" s="192">
        <f t="shared" si="0"/>
        <v>100.69</v>
      </c>
      <c r="K22" s="543"/>
    </row>
    <row r="23" spans="2:11" ht="14.25">
      <c r="B23" s="86"/>
      <c r="C23" s="60"/>
      <c r="D23" s="52" t="s">
        <v>341</v>
      </c>
      <c r="E23" s="184"/>
      <c r="F23" s="184"/>
      <c r="G23" s="184"/>
      <c r="H23" s="153">
        <v>0</v>
      </c>
      <c r="I23" s="192">
        <f t="shared" si="0"/>
        <v>0</v>
      </c>
      <c r="K23" s="543"/>
    </row>
    <row r="24" spans="2:11" ht="14.25">
      <c r="B24" s="86"/>
      <c r="C24" s="60"/>
      <c r="D24" s="52" t="s">
        <v>384</v>
      </c>
      <c r="E24" s="42"/>
      <c r="F24" s="42"/>
      <c r="G24" s="42"/>
      <c r="H24" s="174">
        <v>0</v>
      </c>
      <c r="I24" s="194">
        <f t="shared" si="0"/>
        <v>0</v>
      </c>
      <c r="K24" s="543"/>
    </row>
    <row r="25" spans="2:11" ht="15" thickBot="1">
      <c r="B25" s="86"/>
      <c r="C25" s="60"/>
      <c r="D25" s="52" t="s">
        <v>284</v>
      </c>
      <c r="E25" s="144"/>
      <c r="F25" s="144"/>
      <c r="G25" s="144">
        <v>22831.440000000002</v>
      </c>
      <c r="H25" s="155">
        <v>22960</v>
      </c>
      <c r="I25" s="193">
        <f t="shared" si="0"/>
        <v>99.44</v>
      </c>
      <c r="K25" s="543"/>
    </row>
    <row r="26" spans="2:11" s="36" customFormat="1" ht="15.75" thickBot="1">
      <c r="B26" s="134" t="s">
        <v>27</v>
      </c>
      <c r="C26" s="592" t="s">
        <v>28</v>
      </c>
      <c r="D26" s="593"/>
      <c r="E26" s="33">
        <v>93729</v>
      </c>
      <c r="F26" s="33">
        <f>SUM(F27:F31)</f>
        <v>28919</v>
      </c>
      <c r="G26" s="33">
        <f>SUM(G27:G31)</f>
        <v>0</v>
      </c>
      <c r="H26" s="33">
        <v>0</v>
      </c>
      <c r="I26" s="366">
        <f t="shared" si="0"/>
        <v>0</v>
      </c>
      <c r="K26" s="543"/>
    </row>
    <row r="27" spans="2:11" ht="15" thickBot="1">
      <c r="B27" s="121"/>
      <c r="C27" s="59"/>
      <c r="D27" s="51" t="s">
        <v>316</v>
      </c>
      <c r="E27" s="184"/>
      <c r="F27" s="184">
        <v>28919</v>
      </c>
      <c r="G27" s="184"/>
      <c r="H27" s="153">
        <v>0</v>
      </c>
      <c r="I27" s="192">
        <f t="shared" si="0"/>
        <v>0</v>
      </c>
      <c r="K27" s="543"/>
    </row>
    <row r="28" spans="2:11" ht="15" hidden="1" thickBot="1">
      <c r="B28" s="86"/>
      <c r="C28" s="60"/>
      <c r="D28" s="57" t="s">
        <v>285</v>
      </c>
      <c r="E28" s="184"/>
      <c r="F28" s="184"/>
      <c r="G28" s="184"/>
      <c r="H28" s="153">
        <v>0</v>
      </c>
      <c r="I28" s="192">
        <f t="shared" si="0"/>
        <v>0</v>
      </c>
      <c r="K28" s="543"/>
    </row>
    <row r="29" spans="2:11" ht="15" hidden="1" thickBot="1">
      <c r="B29" s="86"/>
      <c r="C29" s="60"/>
      <c r="D29" s="52" t="s">
        <v>304</v>
      </c>
      <c r="E29" s="184"/>
      <c r="F29" s="184"/>
      <c r="G29" s="184"/>
      <c r="H29" s="153">
        <v>0</v>
      </c>
      <c r="I29" s="192">
        <f t="shared" si="0"/>
        <v>0</v>
      </c>
      <c r="K29" s="543"/>
    </row>
    <row r="30" spans="2:11" ht="15" hidden="1" thickBot="1">
      <c r="B30" s="86"/>
      <c r="C30" s="60"/>
      <c r="D30" s="3" t="s">
        <v>276</v>
      </c>
      <c r="E30" s="144"/>
      <c r="F30" s="144"/>
      <c r="G30" s="144"/>
      <c r="H30" s="153">
        <v>0</v>
      </c>
      <c r="I30" s="192">
        <f t="shared" si="0"/>
        <v>0</v>
      </c>
      <c r="K30" s="543"/>
    </row>
    <row r="31" spans="2:11" ht="15" hidden="1" thickBot="1">
      <c r="B31" s="87"/>
      <c r="C31" s="61"/>
      <c r="D31" s="52" t="s">
        <v>275</v>
      </c>
      <c r="E31" s="144"/>
      <c r="F31" s="144"/>
      <c r="G31" s="144"/>
      <c r="H31" s="155">
        <v>0</v>
      </c>
      <c r="I31" s="193">
        <f t="shared" si="0"/>
        <v>0</v>
      </c>
      <c r="K31" s="543"/>
    </row>
    <row r="32" spans="2:11" s="36" customFormat="1" ht="15.75" hidden="1" thickBot="1">
      <c r="B32" s="111" t="s">
        <v>140</v>
      </c>
      <c r="C32" s="678" t="s">
        <v>141</v>
      </c>
      <c r="D32" s="678"/>
      <c r="E32" s="294"/>
      <c r="F32" s="294"/>
      <c r="G32" s="294"/>
      <c r="H32" s="162">
        <v>0</v>
      </c>
      <c r="I32" s="366">
        <f t="shared" si="0"/>
        <v>0</v>
      </c>
      <c r="K32" s="543"/>
    </row>
    <row r="33" spans="2:11" ht="15" hidden="1" thickBot="1">
      <c r="B33" s="86"/>
      <c r="C33" s="60"/>
      <c r="D33" s="144"/>
      <c r="E33" s="144"/>
      <c r="F33" s="144"/>
      <c r="G33" s="144"/>
      <c r="H33" s="155">
        <v>0</v>
      </c>
      <c r="I33" s="193">
        <f t="shared" si="0"/>
        <v>0</v>
      </c>
      <c r="K33" s="543"/>
    </row>
    <row r="34" spans="2:11" ht="15.75" thickBot="1">
      <c r="B34" s="64" t="s">
        <v>157</v>
      </c>
      <c r="C34" s="592" t="s">
        <v>158</v>
      </c>
      <c r="D34" s="593"/>
      <c r="E34" s="33">
        <v>3603230</v>
      </c>
      <c r="F34" s="33">
        <f>SUM(F35:F41)</f>
        <v>1781346</v>
      </c>
      <c r="G34" s="33">
        <f>SUM(G35:G41)</f>
        <v>11891.04</v>
      </c>
      <c r="H34" s="33">
        <v>11891</v>
      </c>
      <c r="I34" s="366">
        <f t="shared" si="0"/>
        <v>100</v>
      </c>
      <c r="K34" s="543"/>
    </row>
    <row r="35" spans="2:11" ht="14.25">
      <c r="B35" s="671"/>
      <c r="C35" s="676"/>
      <c r="D35" s="57" t="s">
        <v>348</v>
      </c>
      <c r="E35" s="184"/>
      <c r="F35" s="184"/>
      <c r="G35" s="184">
        <v>11891.04</v>
      </c>
      <c r="H35" s="153">
        <v>11891</v>
      </c>
      <c r="I35" s="192">
        <f t="shared" si="0"/>
        <v>100</v>
      </c>
      <c r="J35" s="47"/>
      <c r="K35" s="543"/>
    </row>
    <row r="36" spans="2:11" ht="14.25">
      <c r="B36" s="667"/>
      <c r="C36" s="679"/>
      <c r="D36" s="57" t="s">
        <v>374</v>
      </c>
      <c r="E36" s="184"/>
      <c r="F36" s="184"/>
      <c r="G36" s="184"/>
      <c r="H36" s="153">
        <v>0</v>
      </c>
      <c r="I36" s="192">
        <f t="shared" si="0"/>
        <v>0</v>
      </c>
      <c r="J36" s="47"/>
      <c r="K36" s="543"/>
    </row>
    <row r="37" spans="2:11" ht="14.25">
      <c r="B37" s="667"/>
      <c r="C37" s="679"/>
      <c r="D37" s="52" t="s">
        <v>375</v>
      </c>
      <c r="E37" s="42"/>
      <c r="F37" s="42"/>
      <c r="G37" s="42"/>
      <c r="H37" s="174">
        <v>0</v>
      </c>
      <c r="I37" s="194">
        <f t="shared" si="0"/>
        <v>0</v>
      </c>
      <c r="J37" s="47"/>
      <c r="K37" s="543"/>
    </row>
    <row r="38" spans="2:11" ht="14.25">
      <c r="B38" s="667"/>
      <c r="C38" s="679"/>
      <c r="D38" s="52" t="s">
        <v>376</v>
      </c>
      <c r="E38" s="42"/>
      <c r="F38" s="42"/>
      <c r="G38" s="42"/>
      <c r="H38" s="174">
        <v>0</v>
      </c>
      <c r="I38" s="194">
        <f t="shared" si="0"/>
        <v>0</v>
      </c>
      <c r="J38" s="47"/>
      <c r="K38" s="543"/>
    </row>
    <row r="39" spans="2:12" ht="14.25">
      <c r="B39" s="667"/>
      <c r="C39" s="679"/>
      <c r="D39" s="52" t="s">
        <v>239</v>
      </c>
      <c r="E39" s="42"/>
      <c r="F39" s="42">
        <f>1782446-1100</f>
        <v>1781346</v>
      </c>
      <c r="G39" s="42"/>
      <c r="H39" s="174">
        <v>0</v>
      </c>
      <c r="I39" s="194">
        <f t="shared" si="0"/>
        <v>0</v>
      </c>
      <c r="K39" s="543"/>
      <c r="L39" s="47"/>
    </row>
    <row r="40" spans="2:11" ht="14.25">
      <c r="B40" s="667"/>
      <c r="C40" s="679"/>
      <c r="D40" s="62" t="s">
        <v>291</v>
      </c>
      <c r="E40" s="144"/>
      <c r="F40" s="144"/>
      <c r="G40" s="144"/>
      <c r="H40" s="155">
        <v>0</v>
      </c>
      <c r="I40" s="193">
        <f t="shared" si="0"/>
        <v>0</v>
      </c>
      <c r="K40" s="543"/>
    </row>
    <row r="41" spans="2:11" ht="15" thickBot="1">
      <c r="B41" s="668"/>
      <c r="C41" s="677"/>
      <c r="D41" s="53" t="s">
        <v>292</v>
      </c>
      <c r="E41" s="44"/>
      <c r="F41" s="44"/>
      <c r="G41" s="44"/>
      <c r="H41" s="154">
        <v>0</v>
      </c>
      <c r="I41" s="363">
        <f t="shared" si="0"/>
        <v>0</v>
      </c>
      <c r="K41" s="543"/>
    </row>
    <row r="42" spans="2:11" s="36" customFormat="1" ht="15.75" thickBot="1">
      <c r="B42" s="111" t="s">
        <v>142</v>
      </c>
      <c r="C42" s="672" t="s">
        <v>143</v>
      </c>
      <c r="D42" s="672"/>
      <c r="E42" s="169">
        <v>68225</v>
      </c>
      <c r="F42" s="169">
        <f>SUM(F43:F44)</f>
        <v>5000</v>
      </c>
      <c r="G42" s="545">
        <f>SUM(G43:G44)</f>
        <v>35480.8</v>
      </c>
      <c r="H42" s="169">
        <v>35484</v>
      </c>
      <c r="I42" s="368">
        <f t="shared" si="0"/>
        <v>99.99</v>
      </c>
      <c r="K42" s="543"/>
    </row>
    <row r="43" spans="2:11" s="36" customFormat="1" ht="13.5" customHeight="1">
      <c r="B43" s="613"/>
      <c r="C43" s="680"/>
      <c r="D43" s="13" t="s">
        <v>311</v>
      </c>
      <c r="E43" s="306"/>
      <c r="F43" s="306">
        <v>5000</v>
      </c>
      <c r="G43" s="306">
        <v>20503.12</v>
      </c>
      <c r="H43" s="163">
        <v>20504</v>
      </c>
      <c r="I43" s="396">
        <f t="shared" si="0"/>
        <v>100</v>
      </c>
      <c r="K43" s="543"/>
    </row>
    <row r="44" spans="2:11" ht="15" thickBot="1">
      <c r="B44" s="615"/>
      <c r="C44" s="681"/>
      <c r="D44" s="15" t="s">
        <v>385</v>
      </c>
      <c r="E44" s="305"/>
      <c r="F44" s="305"/>
      <c r="G44" s="305">
        <v>14977.68</v>
      </c>
      <c r="H44" s="155">
        <v>14980</v>
      </c>
      <c r="I44" s="193">
        <f t="shared" si="0"/>
        <v>99.98</v>
      </c>
      <c r="K44" s="543"/>
    </row>
    <row r="45" spans="2:11" s="36" customFormat="1" ht="15.75" thickBot="1">
      <c r="B45" s="88" t="s">
        <v>144</v>
      </c>
      <c r="C45" s="678" t="s">
        <v>145</v>
      </c>
      <c r="D45" s="678"/>
      <c r="E45" s="33">
        <v>3000</v>
      </c>
      <c r="F45" s="33">
        <f>SUM(F46:F64)</f>
        <v>16198</v>
      </c>
      <c r="G45" s="389">
        <f>SUM(G46:G64)</f>
        <v>1305435.64</v>
      </c>
      <c r="H45" s="33">
        <v>1322250</v>
      </c>
      <c r="I45" s="366">
        <f t="shared" si="0"/>
        <v>98.73</v>
      </c>
      <c r="K45" s="543"/>
    </row>
    <row r="46" spans="2:11" ht="14.25" hidden="1">
      <c r="B46" s="671"/>
      <c r="C46" s="676"/>
      <c r="D46" s="198" t="s">
        <v>271</v>
      </c>
      <c r="E46" s="328"/>
      <c r="F46" s="328"/>
      <c r="G46" s="546"/>
      <c r="H46" s="173">
        <v>0</v>
      </c>
      <c r="I46" s="373">
        <f t="shared" si="0"/>
        <v>0</v>
      </c>
      <c r="J46" s="47"/>
      <c r="K46" s="543"/>
    </row>
    <row r="47" spans="2:11" ht="14.25" hidden="1">
      <c r="B47" s="667"/>
      <c r="C47" s="679"/>
      <c r="D47" s="199" t="s">
        <v>272</v>
      </c>
      <c r="E47" s="329"/>
      <c r="F47" s="329"/>
      <c r="G47" s="547"/>
      <c r="H47" s="153">
        <v>0</v>
      </c>
      <c r="I47" s="192">
        <f t="shared" si="0"/>
        <v>0</v>
      </c>
      <c r="K47" s="543"/>
    </row>
    <row r="48" spans="2:11" ht="14.25" hidden="1">
      <c r="B48" s="667"/>
      <c r="C48" s="679"/>
      <c r="D48" s="199" t="s">
        <v>259</v>
      </c>
      <c r="E48" s="329"/>
      <c r="F48" s="329"/>
      <c r="G48" s="547"/>
      <c r="H48" s="153">
        <v>0</v>
      </c>
      <c r="I48" s="192">
        <f t="shared" si="0"/>
        <v>0</v>
      </c>
      <c r="K48" s="543"/>
    </row>
    <row r="49" spans="2:11" ht="14.25" hidden="1">
      <c r="B49" s="667"/>
      <c r="C49" s="679"/>
      <c r="D49" s="199" t="s">
        <v>214</v>
      </c>
      <c r="E49" s="329"/>
      <c r="F49" s="329"/>
      <c r="G49" s="547"/>
      <c r="H49" s="153">
        <v>0</v>
      </c>
      <c r="I49" s="192">
        <f t="shared" si="0"/>
        <v>0</v>
      </c>
      <c r="K49" s="543"/>
    </row>
    <row r="50" spans="2:11" ht="14.25" hidden="1">
      <c r="B50" s="667"/>
      <c r="C50" s="679"/>
      <c r="D50" s="199" t="s">
        <v>244</v>
      </c>
      <c r="E50" s="329"/>
      <c r="F50" s="329"/>
      <c r="G50" s="547"/>
      <c r="H50" s="153">
        <v>0</v>
      </c>
      <c r="I50" s="192">
        <f t="shared" si="0"/>
        <v>0</v>
      </c>
      <c r="K50" s="543"/>
    </row>
    <row r="51" spans="2:11" ht="14.25" hidden="1">
      <c r="B51" s="667"/>
      <c r="C51" s="679"/>
      <c r="D51" s="536" t="s">
        <v>266</v>
      </c>
      <c r="E51" s="537"/>
      <c r="F51" s="537"/>
      <c r="G51" s="548"/>
      <c r="H51" s="155">
        <v>0</v>
      </c>
      <c r="I51" s="193">
        <f t="shared" si="0"/>
        <v>0</v>
      </c>
      <c r="K51" s="543"/>
    </row>
    <row r="52" spans="2:11" ht="14.25" hidden="1">
      <c r="B52" s="667"/>
      <c r="C52" s="679"/>
      <c r="D52" s="200" t="s">
        <v>267</v>
      </c>
      <c r="E52" s="330"/>
      <c r="F52" s="330"/>
      <c r="G52" s="549"/>
      <c r="H52" s="155">
        <v>0</v>
      </c>
      <c r="I52" s="193">
        <f t="shared" si="0"/>
        <v>0</v>
      </c>
      <c r="K52" s="543"/>
    </row>
    <row r="53" spans="2:11" ht="14.25" hidden="1">
      <c r="B53" s="667"/>
      <c r="C53" s="679"/>
      <c r="D53" s="199" t="s">
        <v>268</v>
      </c>
      <c r="E53" s="330"/>
      <c r="F53" s="330"/>
      <c r="G53" s="549"/>
      <c r="H53" s="155">
        <v>0</v>
      </c>
      <c r="I53" s="193">
        <f t="shared" si="0"/>
        <v>0</v>
      </c>
      <c r="K53" s="543"/>
    </row>
    <row r="54" spans="2:11" ht="14.25" hidden="1">
      <c r="B54" s="667"/>
      <c r="C54" s="679"/>
      <c r="D54" s="52" t="s">
        <v>283</v>
      </c>
      <c r="E54" s="42"/>
      <c r="F54" s="42"/>
      <c r="G54" s="508"/>
      <c r="H54" s="174">
        <v>0</v>
      </c>
      <c r="I54" s="194">
        <f t="shared" si="0"/>
        <v>0</v>
      </c>
      <c r="K54" s="543"/>
    </row>
    <row r="55" spans="2:11" ht="14.25">
      <c r="B55" s="667"/>
      <c r="C55" s="679"/>
      <c r="D55" s="52" t="s">
        <v>297</v>
      </c>
      <c r="E55" s="42"/>
      <c r="F55" s="42">
        <v>7632</v>
      </c>
      <c r="G55" s="508"/>
      <c r="H55" s="174">
        <v>0</v>
      </c>
      <c r="I55" s="194">
        <f t="shared" si="0"/>
        <v>0</v>
      </c>
      <c r="K55" s="543"/>
    </row>
    <row r="56" spans="2:11" ht="14.25" hidden="1">
      <c r="B56" s="667"/>
      <c r="C56" s="679"/>
      <c r="D56" s="52"/>
      <c r="E56" s="42"/>
      <c r="F56" s="42"/>
      <c r="G56" s="508"/>
      <c r="H56" s="174">
        <v>0</v>
      </c>
      <c r="I56" s="194">
        <f t="shared" si="0"/>
        <v>0</v>
      </c>
      <c r="K56" s="543"/>
    </row>
    <row r="57" spans="2:11" ht="12.75" customHeight="1" hidden="1">
      <c r="B57" s="667"/>
      <c r="C57" s="679"/>
      <c r="D57" s="52" t="s">
        <v>303</v>
      </c>
      <c r="E57" s="42"/>
      <c r="F57" s="42"/>
      <c r="G57" s="508"/>
      <c r="H57" s="174">
        <v>0</v>
      </c>
      <c r="I57" s="194">
        <f t="shared" si="0"/>
        <v>0</v>
      </c>
      <c r="K57" s="543"/>
    </row>
    <row r="58" spans="2:12" ht="14.25">
      <c r="B58" s="667"/>
      <c r="C58" s="679"/>
      <c r="D58" s="52" t="s">
        <v>336</v>
      </c>
      <c r="E58" s="42"/>
      <c r="F58" s="42"/>
      <c r="G58" s="508">
        <v>1302435.64</v>
      </c>
      <c r="H58" s="174">
        <v>1316250</v>
      </c>
      <c r="I58" s="194">
        <f t="shared" si="0"/>
        <v>98.95</v>
      </c>
      <c r="K58" s="543"/>
      <c r="L58" s="203"/>
    </row>
    <row r="59" spans="2:11" ht="14.25">
      <c r="B59" s="667"/>
      <c r="C59" s="679"/>
      <c r="D59" s="52" t="s">
        <v>320</v>
      </c>
      <c r="E59" s="42"/>
      <c r="F59" s="42"/>
      <c r="G59" s="508"/>
      <c r="H59" s="174">
        <v>0</v>
      </c>
      <c r="I59" s="194">
        <f t="shared" si="0"/>
        <v>0</v>
      </c>
      <c r="K59" s="543"/>
    </row>
    <row r="60" spans="2:11" ht="14.25">
      <c r="B60" s="667"/>
      <c r="C60" s="679"/>
      <c r="D60" s="52" t="s">
        <v>298</v>
      </c>
      <c r="E60" s="42"/>
      <c r="F60" s="42"/>
      <c r="G60" s="508"/>
      <c r="H60" s="174">
        <v>0</v>
      </c>
      <c r="I60" s="194">
        <f t="shared" si="0"/>
        <v>0</v>
      </c>
      <c r="J60" s="47"/>
      <c r="K60" s="543"/>
    </row>
    <row r="61" spans="2:11" ht="14.25">
      <c r="B61" s="667"/>
      <c r="C61" s="679"/>
      <c r="D61" s="52" t="s">
        <v>299</v>
      </c>
      <c r="E61" s="42"/>
      <c r="F61" s="42"/>
      <c r="G61" s="508"/>
      <c r="H61" s="174">
        <v>0</v>
      </c>
      <c r="I61" s="194">
        <f t="shared" si="0"/>
        <v>0</v>
      </c>
      <c r="K61" s="543"/>
    </row>
    <row r="62" spans="2:11" ht="13.5" customHeight="1">
      <c r="B62" s="667"/>
      <c r="C62" s="679"/>
      <c r="D62" s="52" t="s">
        <v>300</v>
      </c>
      <c r="E62" s="42"/>
      <c r="F62" s="42">
        <v>8090</v>
      </c>
      <c r="G62" s="508"/>
      <c r="H62" s="174">
        <v>3000</v>
      </c>
      <c r="I62" s="194">
        <f t="shared" si="0"/>
        <v>0</v>
      </c>
      <c r="K62" s="543"/>
    </row>
    <row r="63" spans="2:9" ht="15" customHeight="1">
      <c r="B63" s="667"/>
      <c r="C63" s="679"/>
      <c r="D63" s="52" t="s">
        <v>219</v>
      </c>
      <c r="E63" s="42"/>
      <c r="F63" s="42"/>
      <c r="G63" s="508"/>
      <c r="H63" s="174">
        <v>0</v>
      </c>
      <c r="I63" s="194">
        <f t="shared" si="0"/>
        <v>0</v>
      </c>
    </row>
    <row r="64" spans="2:9" ht="13.5" customHeight="1" thickBot="1">
      <c r="B64" s="668"/>
      <c r="C64" s="677"/>
      <c r="D64" s="53" t="s">
        <v>214</v>
      </c>
      <c r="E64" s="44"/>
      <c r="F64" s="44">
        <v>476</v>
      </c>
      <c r="G64" s="509">
        <v>3000</v>
      </c>
      <c r="H64" s="154">
        <v>3000</v>
      </c>
      <c r="I64" s="363">
        <f t="shared" si="0"/>
        <v>100</v>
      </c>
    </row>
    <row r="65" spans="2:9" ht="15.75" customHeight="1" hidden="1" thickBot="1">
      <c r="B65" s="80" t="s">
        <v>150</v>
      </c>
      <c r="C65" s="569" t="s">
        <v>151</v>
      </c>
      <c r="D65" s="570"/>
      <c r="E65" s="296"/>
      <c r="F65" s="296"/>
      <c r="G65" s="550"/>
      <c r="H65" s="169">
        <v>0</v>
      </c>
      <c r="I65" s="368">
        <f t="shared" si="0"/>
        <v>0</v>
      </c>
    </row>
    <row r="66" spans="2:9" ht="13.5" customHeight="1" hidden="1">
      <c r="B66" s="86"/>
      <c r="C66" s="60"/>
      <c r="D66" s="52" t="s">
        <v>206</v>
      </c>
      <c r="E66" s="42"/>
      <c r="F66" s="42"/>
      <c r="G66" s="508"/>
      <c r="H66" s="174">
        <v>0</v>
      </c>
      <c r="I66" s="194">
        <f t="shared" si="0"/>
        <v>0</v>
      </c>
    </row>
    <row r="67" spans="2:9" ht="13.5" customHeight="1" hidden="1">
      <c r="B67" s="86"/>
      <c r="C67" s="60"/>
      <c r="D67" s="52"/>
      <c r="E67" s="42"/>
      <c r="F67" s="42"/>
      <c r="G67" s="508"/>
      <c r="H67" s="174">
        <v>0</v>
      </c>
      <c r="I67" s="194">
        <f t="shared" si="0"/>
        <v>0</v>
      </c>
    </row>
    <row r="68" spans="2:9" ht="16.5" customHeight="1" hidden="1" thickBot="1">
      <c r="B68" s="86"/>
      <c r="C68" s="60"/>
      <c r="D68" s="62"/>
      <c r="E68" s="132"/>
      <c r="F68" s="132"/>
      <c r="G68" s="512"/>
      <c r="H68" s="175">
        <v>0</v>
      </c>
      <c r="I68" s="361">
        <f aca="true" t="shared" si="1" ref="I68:I91">IF(H68=0,0,ROUND((G68/H68)*100,2))</f>
        <v>0</v>
      </c>
    </row>
    <row r="69" spans="2:9" ht="15.75" thickBot="1">
      <c r="B69" s="88" t="s">
        <v>146</v>
      </c>
      <c r="C69" s="678" t="s">
        <v>147</v>
      </c>
      <c r="D69" s="678"/>
      <c r="E69" s="33">
        <v>38905</v>
      </c>
      <c r="F69" s="33">
        <f>SUM(F70:F72)</f>
        <v>6455</v>
      </c>
      <c r="G69" s="389">
        <f>SUM(G70:G72)</f>
        <v>131475.39</v>
      </c>
      <c r="H69" s="33">
        <v>1010513</v>
      </c>
      <c r="I69" s="366">
        <f t="shared" si="1"/>
        <v>13.01</v>
      </c>
    </row>
    <row r="70" spans="2:10" ht="12.75">
      <c r="B70" s="671"/>
      <c r="C70" s="676"/>
      <c r="D70" s="51" t="s">
        <v>352</v>
      </c>
      <c r="E70" s="40"/>
      <c r="F70" s="40"/>
      <c r="G70" s="40">
        <v>123141.28</v>
      </c>
      <c r="H70" s="173">
        <v>1000000</v>
      </c>
      <c r="I70" s="373">
        <f t="shared" si="1"/>
        <v>12.31</v>
      </c>
      <c r="J70" s="47"/>
    </row>
    <row r="71" spans="2:10" ht="12.75">
      <c r="B71" s="667"/>
      <c r="C71" s="679"/>
      <c r="D71" s="52" t="s">
        <v>362</v>
      </c>
      <c r="E71" s="42"/>
      <c r="F71" s="42">
        <v>6455</v>
      </c>
      <c r="G71" s="42"/>
      <c r="H71" s="174"/>
      <c r="I71" s="194">
        <f t="shared" si="1"/>
        <v>0</v>
      </c>
      <c r="J71" s="47"/>
    </row>
    <row r="72" spans="2:9" ht="13.5" thickBot="1">
      <c r="B72" s="668"/>
      <c r="C72" s="677"/>
      <c r="D72" s="133" t="s">
        <v>332</v>
      </c>
      <c r="E72" s="299"/>
      <c r="F72" s="299"/>
      <c r="G72" s="299">
        <v>8334.11</v>
      </c>
      <c r="H72" s="224">
        <v>10513</v>
      </c>
      <c r="I72" s="367">
        <f t="shared" si="1"/>
        <v>79.27</v>
      </c>
    </row>
    <row r="73" spans="2:12" ht="15.75" thickBot="1">
      <c r="B73" s="88" t="s">
        <v>248</v>
      </c>
      <c r="C73" s="678" t="s">
        <v>38</v>
      </c>
      <c r="D73" s="678"/>
      <c r="E73" s="33">
        <f>SUM(E74:E75)</f>
        <v>0</v>
      </c>
      <c r="F73" s="33">
        <f>SUM(F74:F75)</f>
        <v>15848</v>
      </c>
      <c r="G73" s="389">
        <f>SUM(G74:G75)</f>
        <v>26915.190000000002</v>
      </c>
      <c r="H73" s="33">
        <v>3000</v>
      </c>
      <c r="I73" s="366">
        <f t="shared" si="1"/>
        <v>897.17</v>
      </c>
      <c r="L73" s="203"/>
    </row>
    <row r="74" spans="2:9" ht="12.75">
      <c r="B74" s="671"/>
      <c r="C74" s="676"/>
      <c r="D74" s="51" t="s">
        <v>208</v>
      </c>
      <c r="E74" s="184"/>
      <c r="F74" s="184">
        <v>7000</v>
      </c>
      <c r="G74" s="184">
        <v>16662.2</v>
      </c>
      <c r="H74" s="153">
        <v>3000</v>
      </c>
      <c r="I74" s="192">
        <f t="shared" si="1"/>
        <v>555.41</v>
      </c>
    </row>
    <row r="75" spans="2:12" ht="13.5" thickBot="1">
      <c r="B75" s="668"/>
      <c r="C75" s="677"/>
      <c r="D75" s="53" t="s">
        <v>270</v>
      </c>
      <c r="E75" s="44"/>
      <c r="F75" s="44">
        <v>8848</v>
      </c>
      <c r="G75" s="44">
        <v>10252.99</v>
      </c>
      <c r="H75" s="154">
        <v>0</v>
      </c>
      <c r="I75" s="363">
        <f t="shared" si="1"/>
        <v>0</v>
      </c>
      <c r="L75" s="47"/>
    </row>
    <row r="76" spans="2:9" ht="15.75" thickBot="1">
      <c r="B76" s="111" t="s">
        <v>245</v>
      </c>
      <c r="C76" s="592" t="s">
        <v>41</v>
      </c>
      <c r="D76" s="593"/>
      <c r="E76" s="298"/>
      <c r="F76" s="341">
        <f>F77</f>
        <v>5500</v>
      </c>
      <c r="G76" s="341">
        <f>G77</f>
        <v>0</v>
      </c>
      <c r="H76" s="169">
        <v>0</v>
      </c>
      <c r="I76" s="368">
        <f t="shared" si="1"/>
        <v>0</v>
      </c>
    </row>
    <row r="77" spans="2:9" ht="13.5" thickBot="1">
      <c r="B77" s="86"/>
      <c r="C77" s="60"/>
      <c r="D77" s="133" t="s">
        <v>219</v>
      </c>
      <c r="E77" s="144"/>
      <c r="F77" s="144">
        <v>5500</v>
      </c>
      <c r="G77" s="144"/>
      <c r="H77" s="155">
        <v>0</v>
      </c>
      <c r="I77" s="193">
        <f t="shared" si="1"/>
        <v>0</v>
      </c>
    </row>
    <row r="78" spans="2:9" ht="15.75" thickBot="1">
      <c r="B78" s="209" t="s">
        <v>148</v>
      </c>
      <c r="C78" s="686" t="s">
        <v>42</v>
      </c>
      <c r="D78" s="686"/>
      <c r="E78" s="33">
        <v>344577</v>
      </c>
      <c r="F78" s="33">
        <f>SUM(F79:F85)</f>
        <v>11076</v>
      </c>
      <c r="G78" s="33">
        <f>SUM(G79:G85)</f>
        <v>22611.84</v>
      </c>
      <c r="H78" s="33">
        <v>31326</v>
      </c>
      <c r="I78" s="366">
        <f t="shared" si="1"/>
        <v>72.18</v>
      </c>
    </row>
    <row r="79" spans="2:12" ht="12.75">
      <c r="B79" s="671"/>
      <c r="C79" s="676"/>
      <c r="D79" s="52" t="s">
        <v>310</v>
      </c>
      <c r="E79" s="184"/>
      <c r="F79" s="184">
        <v>11076</v>
      </c>
      <c r="G79" s="184"/>
      <c r="H79" s="153">
        <v>0</v>
      </c>
      <c r="I79" s="192">
        <f t="shared" si="1"/>
        <v>0</v>
      </c>
      <c r="J79" s="47"/>
      <c r="L79" s="47"/>
    </row>
    <row r="80" spans="2:9" ht="12.75">
      <c r="B80" s="667"/>
      <c r="C80" s="679"/>
      <c r="D80" s="52" t="s">
        <v>314</v>
      </c>
      <c r="E80" s="184"/>
      <c r="F80" s="184"/>
      <c r="G80" s="184"/>
      <c r="H80" s="153">
        <v>0</v>
      </c>
      <c r="I80" s="192">
        <f t="shared" si="1"/>
        <v>0</v>
      </c>
    </row>
    <row r="81" spans="2:9" ht="12.75">
      <c r="B81" s="667"/>
      <c r="C81" s="679"/>
      <c r="D81" s="52" t="s">
        <v>340</v>
      </c>
      <c r="E81" s="184"/>
      <c r="F81" s="184"/>
      <c r="G81" s="184">
        <f>22461.84+150</f>
        <v>22611.84</v>
      </c>
      <c r="H81" s="153">
        <v>31326</v>
      </c>
      <c r="I81" s="192">
        <f t="shared" si="1"/>
        <v>72.18</v>
      </c>
    </row>
    <row r="82" spans="2:10" ht="12.75">
      <c r="B82" s="667"/>
      <c r="C82" s="679"/>
      <c r="D82" s="52" t="s">
        <v>251</v>
      </c>
      <c r="E82" s="184"/>
      <c r="F82" s="184"/>
      <c r="G82" s="184"/>
      <c r="H82" s="153">
        <v>0</v>
      </c>
      <c r="I82" s="192">
        <f t="shared" si="1"/>
        <v>0</v>
      </c>
      <c r="J82" s="47"/>
    </row>
    <row r="83" spans="2:9" ht="12.75">
      <c r="B83" s="667"/>
      <c r="C83" s="679"/>
      <c r="D83" s="52" t="s">
        <v>227</v>
      </c>
      <c r="E83" s="184"/>
      <c r="F83" s="184"/>
      <c r="G83" s="184"/>
      <c r="H83" s="153">
        <v>0</v>
      </c>
      <c r="I83" s="192">
        <f t="shared" si="1"/>
        <v>0</v>
      </c>
    </row>
    <row r="84" spans="2:9" ht="12.75">
      <c r="B84" s="667"/>
      <c r="C84" s="679"/>
      <c r="D84" s="52" t="s">
        <v>282</v>
      </c>
      <c r="E84" s="144"/>
      <c r="F84" s="144"/>
      <c r="G84" s="144"/>
      <c r="H84" s="155">
        <v>0</v>
      </c>
      <c r="I84" s="193">
        <f t="shared" si="1"/>
        <v>0</v>
      </c>
    </row>
    <row r="85" spans="2:9" ht="13.5" thickBot="1">
      <c r="B85" s="668"/>
      <c r="C85" s="677"/>
      <c r="D85" s="62" t="s">
        <v>313</v>
      </c>
      <c r="E85" s="132"/>
      <c r="F85" s="132"/>
      <c r="G85" s="132"/>
      <c r="H85" s="175">
        <v>0</v>
      </c>
      <c r="I85" s="361">
        <f t="shared" si="1"/>
        <v>0</v>
      </c>
    </row>
    <row r="86" spans="2:9" ht="14.25" customHeight="1" thickBot="1">
      <c r="B86" s="64" t="s">
        <v>71</v>
      </c>
      <c r="C86" s="592" t="s">
        <v>45</v>
      </c>
      <c r="D86" s="593"/>
      <c r="E86" s="295">
        <v>66000</v>
      </c>
      <c r="F86" s="295"/>
      <c r="G86" s="295"/>
      <c r="H86" s="33">
        <v>0</v>
      </c>
      <c r="I86" s="366">
        <f t="shared" si="1"/>
        <v>0</v>
      </c>
    </row>
    <row r="87" spans="2:9" ht="13.5" hidden="1" thickBot="1">
      <c r="B87" s="538"/>
      <c r="C87" s="537"/>
      <c r="D87" s="537"/>
      <c r="E87" s="537"/>
      <c r="F87" s="537"/>
      <c r="G87" s="537"/>
      <c r="H87" s="537">
        <v>0</v>
      </c>
      <c r="I87" s="556">
        <f t="shared" si="1"/>
        <v>0</v>
      </c>
    </row>
    <row r="88" spans="2:9" ht="14.25" customHeight="1" hidden="1" thickBot="1">
      <c r="B88" s="86"/>
      <c r="C88" s="60"/>
      <c r="D88" s="3" t="s">
        <v>256</v>
      </c>
      <c r="E88" s="144"/>
      <c r="F88" s="144"/>
      <c r="G88" s="144"/>
      <c r="H88" s="155">
        <v>0</v>
      </c>
      <c r="I88" s="193">
        <f t="shared" si="1"/>
        <v>0</v>
      </c>
    </row>
    <row r="89" spans="2:9" ht="14.25" customHeight="1" thickBot="1">
      <c r="B89" s="213" t="s">
        <v>305</v>
      </c>
      <c r="C89" s="684" t="s">
        <v>70</v>
      </c>
      <c r="D89" s="685"/>
      <c r="E89" s="339"/>
      <c r="F89" s="331"/>
      <c r="G89" s="551">
        <f>G90</f>
        <v>82887.77</v>
      </c>
      <c r="H89" s="276">
        <v>114885</v>
      </c>
      <c r="I89" s="557">
        <f t="shared" si="1"/>
        <v>72.15</v>
      </c>
    </row>
    <row r="90" spans="2:11" ht="14.25" customHeight="1" thickBot="1">
      <c r="B90" s="86"/>
      <c r="C90" s="60"/>
      <c r="D90" s="537" t="s">
        <v>331</v>
      </c>
      <c r="E90" s="340"/>
      <c r="F90" s="537"/>
      <c r="G90" s="537">
        <v>82887.77</v>
      </c>
      <c r="H90" s="155">
        <v>114885</v>
      </c>
      <c r="I90" s="193">
        <f t="shared" si="1"/>
        <v>72.15</v>
      </c>
      <c r="K90" s="47"/>
    </row>
    <row r="91" spans="2:9" ht="17.25" thickBot="1" thickTop="1">
      <c r="B91" s="682" t="s">
        <v>149</v>
      </c>
      <c r="C91" s="683"/>
      <c r="D91" s="683"/>
      <c r="E91" s="72">
        <f>E78+E69+E73+E65+E45+E42+E34+E32+E26+E20+E10+E7+E4+E76+E86+E89</f>
        <v>4719096</v>
      </c>
      <c r="F91" s="72">
        <f>F78+F69+F73+F65+F45+F42+F34+F32+F26+F20+F10+F7+F4+F76+F86+F89</f>
        <v>3939694</v>
      </c>
      <c r="G91" s="469">
        <f>G78+G69+G73+G65+G45+G42+G34+G32+G26+G20+G10+G7+G4+G76+G86+G89</f>
        <v>1800938.79</v>
      </c>
      <c r="H91" s="72">
        <f>H78+H69+H73+H65+H45+H42+H34+H32+H26+H20+H10+H7+H4+H76+H86+H89</f>
        <v>4520654</v>
      </c>
      <c r="I91" s="375">
        <f t="shared" si="1"/>
        <v>39.84</v>
      </c>
    </row>
    <row r="92" ht="13.5" thickTop="1"/>
    <row r="94" spans="7:11" ht="15.75">
      <c r="G94" s="203"/>
      <c r="H94" s="47"/>
      <c r="I94" s="47"/>
      <c r="K94" s="544"/>
    </row>
    <row r="95" spans="8:9" ht="12.75">
      <c r="H95" s="47"/>
      <c r="I95" s="47"/>
    </row>
    <row r="96" ht="12.75">
      <c r="K96" s="203"/>
    </row>
    <row r="97" ht="12.75">
      <c r="L97" s="203"/>
    </row>
    <row r="98" ht="12.75">
      <c r="K98" s="203"/>
    </row>
  </sheetData>
  <sheetProtection/>
  <mergeCells count="43">
    <mergeCell ref="B79:B85"/>
    <mergeCell ref="B74:B75"/>
    <mergeCell ref="C65:D65"/>
    <mergeCell ref="C89:D89"/>
    <mergeCell ref="C79:C85"/>
    <mergeCell ref="C70:C72"/>
    <mergeCell ref="C74:C75"/>
    <mergeCell ref="C78:D78"/>
    <mergeCell ref="I2:I3"/>
    <mergeCell ref="B91:D91"/>
    <mergeCell ref="C86:D86"/>
    <mergeCell ref="C76:D76"/>
    <mergeCell ref="C69:D69"/>
    <mergeCell ref="C73:D73"/>
    <mergeCell ref="B70:B72"/>
    <mergeCell ref="C34:D34"/>
    <mergeCell ref="C8:C9"/>
    <mergeCell ref="C32:D32"/>
    <mergeCell ref="B46:B64"/>
    <mergeCell ref="C46:C64"/>
    <mergeCell ref="C45:D45"/>
    <mergeCell ref="B35:B41"/>
    <mergeCell ref="C35:C41"/>
    <mergeCell ref="C43:C44"/>
    <mergeCell ref="B43:B44"/>
    <mergeCell ref="C42:D42"/>
    <mergeCell ref="C26:D26"/>
    <mergeCell ref="C5:C6"/>
    <mergeCell ref="C7:D7"/>
    <mergeCell ref="C10:D10"/>
    <mergeCell ref="B1:D1"/>
    <mergeCell ref="D2:D3"/>
    <mergeCell ref="B2:B3"/>
    <mergeCell ref="C2:C3"/>
    <mergeCell ref="H2:H3"/>
    <mergeCell ref="B11:B19"/>
    <mergeCell ref="C11:C19"/>
    <mergeCell ref="C20:D20"/>
    <mergeCell ref="B5:B6"/>
    <mergeCell ref="C4:D4"/>
    <mergeCell ref="F2:F3"/>
    <mergeCell ref="E2:E3"/>
    <mergeCell ref="G2:G3"/>
  </mergeCells>
  <printOptions/>
  <pageMargins left="0.33" right="0.16" top="0.75" bottom="0.16" header="0.3" footer="0.18"/>
  <pageSetup horizontalDpi="300" verticalDpi="3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B1:K30"/>
  <sheetViews>
    <sheetView showGridLines="0" zoomScalePageLayoutView="0" workbookViewId="0" topLeftCell="A1">
      <selection activeCell="G26" sqref="G26"/>
    </sheetView>
  </sheetViews>
  <sheetFormatPr defaultColWidth="9.140625" defaultRowHeight="12.75"/>
  <cols>
    <col min="1" max="1" width="3.421875" style="0" customWidth="1"/>
    <col min="2" max="2" width="9.7109375" style="0" customWidth="1"/>
    <col min="3" max="3" width="8.140625" style="0" customWidth="1"/>
    <col min="4" max="4" width="35.140625" style="0" customWidth="1"/>
    <col min="5" max="8" width="12.00390625" style="0" customWidth="1"/>
    <col min="9" max="9" width="11.57421875" style="0" customWidth="1"/>
  </cols>
  <sheetData>
    <row r="1" spans="2:8" ht="12.75">
      <c r="B1" s="662" t="s">
        <v>167</v>
      </c>
      <c r="C1" s="662"/>
      <c r="D1" s="662"/>
      <c r="E1" s="215"/>
      <c r="F1" s="215"/>
      <c r="G1" s="215"/>
      <c r="H1" s="215"/>
    </row>
    <row r="2" spans="2:8" ht="13.5" thickBot="1">
      <c r="B2" s="583" t="s">
        <v>168</v>
      </c>
      <c r="C2" s="583"/>
      <c r="D2" s="583"/>
      <c r="E2" s="214"/>
      <c r="F2" s="214"/>
      <c r="G2" s="214"/>
      <c r="H2" s="214"/>
    </row>
    <row r="3" spans="2:9" ht="12.75" customHeight="1" thickTop="1">
      <c r="B3" s="584" t="s">
        <v>109</v>
      </c>
      <c r="C3" s="586" t="s">
        <v>59</v>
      </c>
      <c r="D3" s="578" t="s">
        <v>124</v>
      </c>
      <c r="E3" s="578" t="s">
        <v>354</v>
      </c>
      <c r="F3" s="578" t="s">
        <v>353</v>
      </c>
      <c r="G3" s="578" t="s">
        <v>369</v>
      </c>
      <c r="H3" s="578" t="s">
        <v>370</v>
      </c>
      <c r="I3" s="580" t="s">
        <v>368</v>
      </c>
    </row>
    <row r="4" spans="2:9" ht="27" customHeight="1" thickBot="1">
      <c r="B4" s="585"/>
      <c r="C4" s="587"/>
      <c r="D4" s="579"/>
      <c r="E4" s="579"/>
      <c r="F4" s="579"/>
      <c r="G4" s="579"/>
      <c r="H4" s="579"/>
      <c r="I4" s="581"/>
    </row>
    <row r="5" spans="2:9" ht="14.25" thickBot="1" thickTop="1">
      <c r="B5" s="124">
        <v>519</v>
      </c>
      <c r="C5" s="693" t="s">
        <v>161</v>
      </c>
      <c r="D5" s="694"/>
      <c r="E5" s="125">
        <f>SUM(E6:E7)</f>
        <v>796126</v>
      </c>
      <c r="F5" s="125">
        <f>SUM(F6:F7)</f>
        <v>889265</v>
      </c>
      <c r="G5" s="125">
        <f>SUM(G6:G7)</f>
        <v>1041848.1</v>
      </c>
      <c r="H5" s="125">
        <f>SUM(H6:H7)</f>
        <v>1044496</v>
      </c>
      <c r="I5" s="377">
        <f aca="true" t="shared" si="0" ref="I5:I15">IF(H5=0,0,ROUND((G5/H5)*100,2))</f>
        <v>99.75</v>
      </c>
    </row>
    <row r="6" spans="2:9" ht="12.75">
      <c r="B6" s="588"/>
      <c r="C6" s="82"/>
      <c r="D6" s="51" t="s">
        <v>162</v>
      </c>
      <c r="E6" s="51">
        <v>232649</v>
      </c>
      <c r="F6" s="51">
        <f>467154+171790</f>
        <v>638944</v>
      </c>
      <c r="G6" s="51">
        <v>96973.2</v>
      </c>
      <c r="H6" s="41">
        <v>99621</v>
      </c>
      <c r="I6" s="378">
        <f t="shared" si="0"/>
        <v>97.34</v>
      </c>
    </row>
    <row r="7" spans="2:9" ht="13.5" thickBot="1">
      <c r="B7" s="605"/>
      <c r="C7" s="83"/>
      <c r="D7" s="53" t="s">
        <v>163</v>
      </c>
      <c r="E7" s="53">
        <v>563477</v>
      </c>
      <c r="F7" s="53">
        <v>250321</v>
      </c>
      <c r="G7" s="53">
        <f>874370+70504.9</f>
        <v>944874.9</v>
      </c>
      <c r="H7" s="178">
        <v>944875</v>
      </c>
      <c r="I7" s="379">
        <f t="shared" si="0"/>
        <v>100</v>
      </c>
    </row>
    <row r="8" spans="2:10" ht="13.5" thickBot="1">
      <c r="B8" s="89">
        <v>450</v>
      </c>
      <c r="C8" s="691" t="s">
        <v>105</v>
      </c>
      <c r="D8" s="692"/>
      <c r="E8" s="2">
        <f>SUM(E9:E14)</f>
        <v>509280</v>
      </c>
      <c r="F8" s="2">
        <f>SUM(F9:F14)</f>
        <v>620269</v>
      </c>
      <c r="G8" s="2">
        <f>SUM(G9:G14)</f>
        <v>259121.03000000003</v>
      </c>
      <c r="H8" s="2">
        <f>SUM(H9:H14)</f>
        <v>64791</v>
      </c>
      <c r="I8" s="190">
        <f t="shared" si="0"/>
        <v>399.93</v>
      </c>
      <c r="J8" s="34"/>
    </row>
    <row r="9" spans="2:9" s="282" customFormat="1" ht="12.75">
      <c r="B9" s="588"/>
      <c r="C9" s="82"/>
      <c r="D9" s="290" t="s">
        <v>171</v>
      </c>
      <c r="E9" s="290"/>
      <c r="F9" s="290">
        <v>9775</v>
      </c>
      <c r="G9" s="290">
        <v>16185.64</v>
      </c>
      <c r="H9" s="291">
        <v>30000</v>
      </c>
      <c r="I9" s="378">
        <f t="shared" si="0"/>
        <v>53.95</v>
      </c>
    </row>
    <row r="10" spans="2:10" ht="12.75">
      <c r="B10" s="589"/>
      <c r="C10" s="112"/>
      <c r="D10" s="113" t="s">
        <v>318</v>
      </c>
      <c r="E10" s="113">
        <v>192501</v>
      </c>
      <c r="F10" s="113">
        <v>494</v>
      </c>
      <c r="G10" s="113">
        <v>208144.39</v>
      </c>
      <c r="H10" s="185">
        <v>0</v>
      </c>
      <c r="I10" s="380">
        <f t="shared" si="0"/>
        <v>0</v>
      </c>
      <c r="J10" s="34"/>
    </row>
    <row r="11" spans="2:11" ht="12.75" customHeight="1">
      <c r="B11" s="589"/>
      <c r="C11" s="112"/>
      <c r="D11" s="113" t="s">
        <v>164</v>
      </c>
      <c r="E11" s="113">
        <v>316779</v>
      </c>
      <c r="F11" s="113">
        <v>610000</v>
      </c>
      <c r="G11" s="113">
        <v>34791</v>
      </c>
      <c r="H11" s="185">
        <v>34791</v>
      </c>
      <c r="I11" s="380">
        <f t="shared" si="0"/>
        <v>100</v>
      </c>
      <c r="J11" s="34"/>
      <c r="K11" s="34"/>
    </row>
    <row r="12" spans="2:9" ht="12.75" customHeight="1" thickBot="1">
      <c r="B12" s="589"/>
      <c r="C12" s="112"/>
      <c r="D12" s="113" t="s">
        <v>165</v>
      </c>
      <c r="E12" s="113"/>
      <c r="F12" s="113"/>
      <c r="G12" s="113"/>
      <c r="H12" s="49"/>
      <c r="I12" s="380">
        <f t="shared" si="0"/>
        <v>0</v>
      </c>
    </row>
    <row r="13" spans="2:9" ht="12.75" customHeight="1" hidden="1">
      <c r="B13" s="589"/>
      <c r="C13" s="84"/>
      <c r="D13" s="85" t="s">
        <v>196</v>
      </c>
      <c r="E13" s="85"/>
      <c r="F13" s="85"/>
      <c r="G13" s="85"/>
      <c r="H13" s="43"/>
      <c r="I13" s="381">
        <f t="shared" si="0"/>
        <v>0</v>
      </c>
    </row>
    <row r="14" spans="2:9" ht="13.5" customHeight="1" hidden="1" thickBot="1">
      <c r="B14" s="590"/>
      <c r="C14" s="84"/>
      <c r="D14" s="85" t="s">
        <v>170</v>
      </c>
      <c r="E14" s="85"/>
      <c r="F14" s="85"/>
      <c r="G14" s="85"/>
      <c r="H14" s="43"/>
      <c r="I14" s="381">
        <f t="shared" si="0"/>
        <v>0</v>
      </c>
    </row>
    <row r="15" spans="2:11" ht="14.25" thickBot="1" thickTop="1">
      <c r="B15" s="688" t="s">
        <v>166</v>
      </c>
      <c r="C15" s="689"/>
      <c r="D15" s="690"/>
      <c r="E15" s="122">
        <f>E8+E5</f>
        <v>1305406</v>
      </c>
      <c r="F15" s="122">
        <f>F8+F5</f>
        <v>1509534</v>
      </c>
      <c r="G15" s="541">
        <f>G8+G5</f>
        <v>1300969.13</v>
      </c>
      <c r="H15" s="122">
        <f>H8+H5</f>
        <v>1109287</v>
      </c>
      <c r="I15" s="382">
        <f t="shared" si="0"/>
        <v>117.28</v>
      </c>
      <c r="J15" s="34"/>
      <c r="K15" s="34"/>
    </row>
    <row r="16" spans="2:8" ht="13.5" thickTop="1">
      <c r="B16" s="687"/>
      <c r="C16" s="687"/>
      <c r="D16" s="687"/>
      <c r="E16" s="216"/>
      <c r="F16" s="216"/>
      <c r="G16" s="216"/>
      <c r="H16" s="216"/>
    </row>
    <row r="17" spans="2:8" ht="13.5" thickBot="1">
      <c r="B17" s="673" t="s">
        <v>169</v>
      </c>
      <c r="C17" s="673"/>
      <c r="D17" s="673"/>
      <c r="E17" s="223"/>
      <c r="F17" s="223"/>
      <c r="G17" s="223"/>
      <c r="H17" s="223"/>
    </row>
    <row r="18" spans="2:9" ht="13.5" customHeight="1" thickTop="1">
      <c r="B18" s="698" t="s">
        <v>58</v>
      </c>
      <c r="C18" s="674" t="s">
        <v>59</v>
      </c>
      <c r="D18" s="623" t="s">
        <v>60</v>
      </c>
      <c r="E18" s="578" t="s">
        <v>354</v>
      </c>
      <c r="F18" s="578" t="s">
        <v>353</v>
      </c>
      <c r="G18" s="578" t="s">
        <v>369</v>
      </c>
      <c r="H18" s="578" t="s">
        <v>370</v>
      </c>
      <c r="I18" s="580" t="s">
        <v>368</v>
      </c>
    </row>
    <row r="19" spans="2:9" ht="24.75" customHeight="1" thickBot="1">
      <c r="B19" s="699"/>
      <c r="C19" s="675"/>
      <c r="D19" s="624"/>
      <c r="E19" s="579"/>
      <c r="F19" s="579"/>
      <c r="G19" s="579"/>
      <c r="H19" s="579"/>
      <c r="I19" s="581"/>
    </row>
    <row r="20" spans="2:9" ht="14.25" thickBot="1" thickTop="1">
      <c r="B20" s="93" t="s">
        <v>6</v>
      </c>
      <c r="C20" s="693" t="s">
        <v>161</v>
      </c>
      <c r="D20" s="694"/>
      <c r="E20" s="115">
        <f>SUM(E21:E26)</f>
        <v>1191263</v>
      </c>
      <c r="F20" s="115">
        <f>SUM(F21:F26)</f>
        <v>977990</v>
      </c>
      <c r="G20" s="115">
        <f>SUM(G21:G26)</f>
        <v>439019.94999999995</v>
      </c>
      <c r="H20" s="115">
        <f>SUM(H21:H26)</f>
        <v>529834</v>
      </c>
      <c r="I20" s="383">
        <f aca="true" t="shared" si="1" ref="I20:I27">IF(H20=0,0,ROUND((G20/H20)*100,2))</f>
        <v>82.86</v>
      </c>
    </row>
    <row r="21" spans="2:11" ht="12.75">
      <c r="B21" s="695"/>
      <c r="C21" s="90"/>
      <c r="D21" s="90" t="s">
        <v>180</v>
      </c>
      <c r="E21" s="90">
        <v>122620</v>
      </c>
      <c r="F21" s="342">
        <v>207083</v>
      </c>
      <c r="G21" s="552">
        <v>173080.99</v>
      </c>
      <c r="H21" s="186">
        <v>198326</v>
      </c>
      <c r="I21" s="384">
        <f t="shared" si="1"/>
        <v>87.27</v>
      </c>
      <c r="K21" s="34"/>
    </row>
    <row r="22" spans="2:9" ht="12.75">
      <c r="B22" s="696"/>
      <c r="C22" s="126"/>
      <c r="D22" s="176" t="s">
        <v>243</v>
      </c>
      <c r="E22" s="176">
        <v>733308</v>
      </c>
      <c r="F22" s="343">
        <v>631012</v>
      </c>
      <c r="G22" s="343">
        <v>171789.61</v>
      </c>
      <c r="H22" s="187">
        <v>271411</v>
      </c>
      <c r="I22" s="385">
        <f t="shared" si="1"/>
        <v>63.3</v>
      </c>
    </row>
    <row r="23" spans="2:9" ht="12.75">
      <c r="B23" s="696"/>
      <c r="C23" s="91"/>
      <c r="D23" s="177" t="s">
        <v>233</v>
      </c>
      <c r="E23" s="177">
        <v>53736</v>
      </c>
      <c r="F23" s="135">
        <v>54692</v>
      </c>
      <c r="G23" s="135">
        <v>59829.25</v>
      </c>
      <c r="H23" s="187">
        <v>60097</v>
      </c>
      <c r="I23" s="386">
        <f t="shared" si="1"/>
        <v>99.55</v>
      </c>
    </row>
    <row r="24" spans="2:11" s="119" customFormat="1" ht="13.5" customHeight="1">
      <c r="B24" s="696"/>
      <c r="C24" s="118"/>
      <c r="D24" s="120" t="s">
        <v>205</v>
      </c>
      <c r="E24" s="120"/>
      <c r="F24" s="344"/>
      <c r="G24" s="344"/>
      <c r="H24" s="135"/>
      <c r="I24" s="385">
        <f t="shared" si="1"/>
        <v>0</v>
      </c>
      <c r="K24" s="436"/>
    </row>
    <row r="25" spans="2:9" ht="13.5" customHeight="1">
      <c r="B25" s="696"/>
      <c r="C25" s="91"/>
      <c r="D25" s="91" t="s">
        <v>288</v>
      </c>
      <c r="E25" s="91">
        <v>281599</v>
      </c>
      <c r="F25" s="116">
        <f>85355-64-90+2</f>
        <v>85203</v>
      </c>
      <c r="G25" s="116">
        <f>11153.39+8227.5+11550+3389.21</f>
        <v>34320.1</v>
      </c>
      <c r="H25" s="116"/>
      <c r="I25" s="387">
        <f t="shared" si="1"/>
        <v>0</v>
      </c>
    </row>
    <row r="26" spans="2:9" ht="13.5" customHeight="1" thickBot="1">
      <c r="B26" s="697"/>
      <c r="C26" s="92"/>
      <c r="D26" s="92"/>
      <c r="E26" s="92"/>
      <c r="F26" s="117"/>
      <c r="G26" s="117"/>
      <c r="H26" s="117"/>
      <c r="I26" s="388">
        <f t="shared" si="1"/>
        <v>0</v>
      </c>
    </row>
    <row r="27" spans="2:9" ht="14.25" thickBot="1" thickTop="1">
      <c r="B27" s="688" t="s">
        <v>166</v>
      </c>
      <c r="C27" s="689"/>
      <c r="D27" s="690"/>
      <c r="E27" s="122">
        <f>E20</f>
        <v>1191263</v>
      </c>
      <c r="F27" s="122">
        <f>F20</f>
        <v>977990</v>
      </c>
      <c r="G27" s="541">
        <f>G20</f>
        <v>439019.94999999995</v>
      </c>
      <c r="H27" s="122">
        <f>H20</f>
        <v>529834</v>
      </c>
      <c r="I27" s="382">
        <f t="shared" si="1"/>
        <v>82.86</v>
      </c>
    </row>
    <row r="28" ht="13.5" thickTop="1"/>
    <row r="30" ht="12.75">
      <c r="H30" s="34"/>
    </row>
  </sheetData>
  <sheetProtection/>
  <mergeCells count="28">
    <mergeCell ref="E18:E19"/>
    <mergeCell ref="F18:F19"/>
    <mergeCell ref="B27:D27"/>
    <mergeCell ref="B21:B26"/>
    <mergeCell ref="D18:D19"/>
    <mergeCell ref="C20:D20"/>
    <mergeCell ref="B18:B19"/>
    <mergeCell ref="C18:C19"/>
    <mergeCell ref="F3:F4"/>
    <mergeCell ref="B9:B14"/>
    <mergeCell ref="B16:D16"/>
    <mergeCell ref="B17:D17"/>
    <mergeCell ref="B15:D15"/>
    <mergeCell ref="B6:B7"/>
    <mergeCell ref="C8:D8"/>
    <mergeCell ref="C5:D5"/>
    <mergeCell ref="E3:E4"/>
    <mergeCell ref="B1:D1"/>
    <mergeCell ref="B2:D2"/>
    <mergeCell ref="B3:B4"/>
    <mergeCell ref="C3:C4"/>
    <mergeCell ref="D3:D4"/>
    <mergeCell ref="G18:G19"/>
    <mergeCell ref="I18:I19"/>
    <mergeCell ref="I3:I4"/>
    <mergeCell ref="H18:H19"/>
    <mergeCell ref="H3:H4"/>
    <mergeCell ref="G3:G4"/>
  </mergeCells>
  <printOptions/>
  <pageMargins left="0.16" right="0.15" top="1" bottom="1" header="0.4921259845" footer="0.4921259845"/>
  <pageSetup horizontalDpi="300" verticalDpi="3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I33"/>
  <sheetViews>
    <sheetView showGridLines="0" tabSelected="1" zoomScalePageLayoutView="0" workbookViewId="0" topLeftCell="A1">
      <selection activeCell="E28" sqref="E28"/>
    </sheetView>
  </sheetViews>
  <sheetFormatPr defaultColWidth="9.140625" defaultRowHeight="12.75"/>
  <cols>
    <col min="1" max="1" width="41.7109375" style="0" customWidth="1"/>
    <col min="2" max="2" width="12.57421875" style="0" customWidth="1"/>
    <col min="3" max="3" width="11.57421875" style="0" customWidth="1"/>
    <col min="4" max="4" width="15.140625" style="0" customWidth="1"/>
    <col min="5" max="5" width="12.421875" style="0" customWidth="1"/>
    <col min="6" max="6" width="12.140625" style="0" customWidth="1"/>
    <col min="9" max="9" width="15.28125" style="0" customWidth="1"/>
  </cols>
  <sheetData>
    <row r="1" spans="1:6" ht="15">
      <c r="A1" s="700" t="s">
        <v>198</v>
      </c>
      <c r="B1" s="700"/>
      <c r="C1" s="700"/>
      <c r="D1" s="700"/>
      <c r="E1" s="700"/>
      <c r="F1" s="700"/>
    </row>
    <row r="2" spans="1:6" ht="13.5" thickBot="1">
      <c r="A2" s="701"/>
      <c r="B2" s="701"/>
      <c r="C2" s="701"/>
      <c r="D2" s="701"/>
      <c r="E2" s="701"/>
      <c r="F2" s="701"/>
    </row>
    <row r="3" spans="1:6" ht="13.5" customHeight="1" thickTop="1">
      <c r="A3" s="703" t="s">
        <v>124</v>
      </c>
      <c r="B3" s="578" t="s">
        <v>354</v>
      </c>
      <c r="C3" s="578" t="s">
        <v>353</v>
      </c>
      <c r="D3" s="578" t="s">
        <v>369</v>
      </c>
      <c r="E3" s="578" t="s">
        <v>370</v>
      </c>
      <c r="F3" s="580" t="s">
        <v>368</v>
      </c>
    </row>
    <row r="4" spans="1:6" ht="26.25" customHeight="1" thickBot="1">
      <c r="A4" s="704"/>
      <c r="B4" s="702"/>
      <c r="C4" s="702"/>
      <c r="D4" s="702"/>
      <c r="E4" s="579"/>
      <c r="F4" s="581"/>
    </row>
    <row r="5" spans="1:6" ht="13.5" thickTop="1">
      <c r="A5" s="136" t="s">
        <v>186</v>
      </c>
      <c r="B5" s="225">
        <f>'BEŽNÉ PRÍJMY'!E105</f>
        <v>9201831</v>
      </c>
      <c r="C5" s="225">
        <f>'BEŽNÉ PRÍJMY'!F105</f>
        <v>9722622</v>
      </c>
      <c r="D5" s="531">
        <f>'BEŽNÉ PRÍJMY'!G105</f>
        <v>9640328.24</v>
      </c>
      <c r="E5" s="225">
        <f>'BEŽNÉ PRÍJMY'!H105</f>
        <v>9248781</v>
      </c>
      <c r="F5" s="376">
        <f>IF(E5=0,0,ROUND((D5/E5)*100,2))</f>
        <v>104.23</v>
      </c>
    </row>
    <row r="6" spans="1:9" ht="14.25" customHeight="1" thickBot="1">
      <c r="A6" s="137" t="s">
        <v>187</v>
      </c>
      <c r="B6" s="117">
        <f>'BEŽNÉ VÝDAVKY'!E184</f>
        <v>9090417</v>
      </c>
      <c r="C6" s="117">
        <f>'BEŽNÉ VÝDAVKY'!F184</f>
        <v>8934542</v>
      </c>
      <c r="D6" s="532">
        <f>'BEŽNÉ VÝDAVKY'!G184</f>
        <v>9572545.38</v>
      </c>
      <c r="E6" s="117">
        <f>'BEŽNÉ VÝDAVKY'!H184</f>
        <v>9065389</v>
      </c>
      <c r="F6" s="388">
        <f>IF(E6=0,0,ROUND((D6/E6)*100,2))</f>
        <v>105.59</v>
      </c>
      <c r="I6" s="542"/>
    </row>
    <row r="7" spans="1:6" ht="15.75" thickBot="1">
      <c r="A7" s="226" t="s">
        <v>188</v>
      </c>
      <c r="B7" s="141">
        <f>B5-B6</f>
        <v>111414</v>
      </c>
      <c r="C7" s="141">
        <f>C5-C6</f>
        <v>788080</v>
      </c>
      <c r="D7" s="533">
        <f>D5-D6</f>
        <v>67782.8599999994</v>
      </c>
      <c r="E7" s="141">
        <f>E5-E6</f>
        <v>183392</v>
      </c>
      <c r="F7" s="280"/>
    </row>
    <row r="8" spans="1:6" ht="14.25" thickBot="1" thickTop="1">
      <c r="A8" s="705"/>
      <c r="B8" s="706"/>
      <c r="C8" s="706"/>
      <c r="D8" s="706"/>
      <c r="E8" s="706"/>
      <c r="F8" s="707"/>
    </row>
    <row r="9" spans="1:6" ht="13.5" thickTop="1">
      <c r="A9" s="136" t="s">
        <v>189</v>
      </c>
      <c r="B9" s="225">
        <f>'KAPITÁLOVÉ PRÍJMY'!E54</f>
        <v>4502774.06</v>
      </c>
      <c r="C9" s="225">
        <f>'KAPITÁLOVÉ PRÍJMY'!F54</f>
        <v>3678497</v>
      </c>
      <c r="D9" s="531">
        <f>'KAPITÁLOVÉ PRÍJMY'!G54</f>
        <v>1218338.59</v>
      </c>
      <c r="E9" s="225">
        <f>'KAPITÁLOVÉ PRÍJMY'!H54</f>
        <v>3757809</v>
      </c>
      <c r="F9" s="376">
        <f>IF(E9=0,0,ROUND((D9/E9)*100,2))</f>
        <v>32.42</v>
      </c>
    </row>
    <row r="10" spans="1:6" ht="15" customHeight="1" thickBot="1">
      <c r="A10" s="137" t="s">
        <v>190</v>
      </c>
      <c r="B10" s="117">
        <f>'KAPITÁLVÉ VÝDAVKY'!E91</f>
        <v>4719096</v>
      </c>
      <c r="C10" s="117">
        <f>'KAPITÁLVÉ VÝDAVKY'!F91</f>
        <v>3939694</v>
      </c>
      <c r="D10" s="532">
        <f>'KAPITÁLVÉ VÝDAVKY'!G91</f>
        <v>1800938.79</v>
      </c>
      <c r="E10" s="117">
        <f>'KAPITÁLVÉ VÝDAVKY'!H91</f>
        <v>4520654</v>
      </c>
      <c r="F10" s="388">
        <f>IF(E10=0,0,ROUND((D10/E10)*100,2))</f>
        <v>39.84</v>
      </c>
    </row>
    <row r="11" spans="1:6" ht="15.75" thickBot="1">
      <c r="A11" s="227" t="s">
        <v>191</v>
      </c>
      <c r="B11" s="228">
        <f>B9-B10</f>
        <v>-216321.9400000004</v>
      </c>
      <c r="C11" s="228">
        <f>C9-C10</f>
        <v>-261197</v>
      </c>
      <c r="D11" s="553">
        <f>D9-D10</f>
        <v>-582600.2</v>
      </c>
      <c r="E11" s="228">
        <f>E9-E10</f>
        <v>-762845</v>
      </c>
      <c r="F11" s="281"/>
    </row>
    <row r="12" spans="1:6" ht="14.25" thickBot="1" thickTop="1">
      <c r="A12" s="705"/>
      <c r="B12" s="706"/>
      <c r="C12" s="706"/>
      <c r="D12" s="706"/>
      <c r="E12" s="706"/>
      <c r="F12" s="707"/>
    </row>
    <row r="13" spans="1:6" ht="13.5" thickTop="1">
      <c r="A13" s="136" t="s">
        <v>192</v>
      </c>
      <c r="B13" s="225">
        <f>'FINANČNÉ OPERÁCIE'!E15</f>
        <v>1305406</v>
      </c>
      <c r="C13" s="225">
        <f>'FINANČNÉ OPERÁCIE'!F15</f>
        <v>1509534</v>
      </c>
      <c r="D13" s="531">
        <f>'FINANČNÉ OPERÁCIE'!G15</f>
        <v>1300969.13</v>
      </c>
      <c r="E13" s="225">
        <f>'FINANČNÉ OPERÁCIE'!H15</f>
        <v>1109287</v>
      </c>
      <c r="F13" s="376">
        <f>IF(E13=0,0,ROUND((D13/E13)*100,2))</f>
        <v>117.28</v>
      </c>
    </row>
    <row r="14" spans="1:6" ht="15" customHeight="1" thickBot="1">
      <c r="A14" s="137" t="s">
        <v>193</v>
      </c>
      <c r="B14" s="117">
        <f>'FINANČNÉ OPERÁCIE'!E27</f>
        <v>1191263</v>
      </c>
      <c r="C14" s="117">
        <f>'FINANČNÉ OPERÁCIE'!F27</f>
        <v>977990</v>
      </c>
      <c r="D14" s="532">
        <f>'FINANČNÉ OPERÁCIE'!G27</f>
        <v>439019.94999999995</v>
      </c>
      <c r="E14" s="117">
        <f>'FINANČNÉ OPERÁCIE'!H27</f>
        <v>529834</v>
      </c>
      <c r="F14" s="388">
        <f>IF(E14=0,0,ROUND((D14/E14)*100,2))</f>
        <v>82.86</v>
      </c>
    </row>
    <row r="15" spans="1:6" ht="15.75" thickBot="1">
      <c r="A15" s="227" t="s">
        <v>194</v>
      </c>
      <c r="B15" s="228">
        <f>B13-B14</f>
        <v>114143</v>
      </c>
      <c r="C15" s="228">
        <f>C13-C14</f>
        <v>531544</v>
      </c>
      <c r="D15" s="553">
        <f>D13-D14</f>
        <v>861949.1799999999</v>
      </c>
      <c r="E15" s="228">
        <f>E13-E14</f>
        <v>579453</v>
      </c>
      <c r="F15" s="281"/>
    </row>
    <row r="16" spans="1:6" ht="16.5" customHeight="1" thickBot="1" thickTop="1">
      <c r="A16" s="715"/>
      <c r="B16" s="701"/>
      <c r="C16" s="701"/>
      <c r="D16" s="701"/>
      <c r="E16" s="701"/>
      <c r="F16" s="716"/>
    </row>
    <row r="17" spans="1:6" ht="13.5" customHeight="1" thickTop="1">
      <c r="A17" s="709" t="s">
        <v>247</v>
      </c>
      <c r="B17" s="710"/>
      <c r="C17" s="710"/>
      <c r="D17" s="710"/>
      <c r="E17" s="710"/>
      <c r="F17" s="711"/>
    </row>
    <row r="18" spans="1:6" ht="13.5" thickBot="1">
      <c r="A18" s="712"/>
      <c r="B18" s="713"/>
      <c r="C18" s="713"/>
      <c r="D18" s="713"/>
      <c r="E18" s="713"/>
      <c r="F18" s="714"/>
    </row>
    <row r="19" spans="1:6" ht="17.25" thickBot="1" thickTop="1">
      <c r="A19" s="138" t="s">
        <v>195</v>
      </c>
      <c r="B19" s="139">
        <f>B7+B11+B15</f>
        <v>9235.05999999959</v>
      </c>
      <c r="C19" s="139">
        <f>C7+C11+C15</f>
        <v>1058427</v>
      </c>
      <c r="D19" s="554">
        <f>D7+D11+D15</f>
        <v>347131.8399999994</v>
      </c>
      <c r="E19" s="139">
        <f>E7+E11+E15</f>
        <v>0</v>
      </c>
      <c r="F19" s="140"/>
    </row>
    <row r="20" spans="1:5" ht="13.5" thickTop="1">
      <c r="A20" s="195"/>
      <c r="B20" s="195"/>
      <c r="C20" s="195"/>
      <c r="D20" s="195"/>
      <c r="E20" s="197"/>
    </row>
    <row r="21" spans="1:5" ht="12.75">
      <c r="A21" s="195"/>
      <c r="B21" s="195"/>
      <c r="C21" s="195"/>
      <c r="D21" s="195"/>
      <c r="E21" s="197"/>
    </row>
    <row r="22" spans="1:5" ht="12.75">
      <c r="A22" s="195"/>
      <c r="B22" s="441"/>
      <c r="C22" s="437"/>
      <c r="D22" s="437"/>
      <c r="E22" s="197"/>
    </row>
    <row r="23" spans="1:6" ht="12.75">
      <c r="A23" s="195"/>
      <c r="B23" s="441"/>
      <c r="C23" s="437"/>
      <c r="D23" s="559"/>
      <c r="E23" s="195"/>
      <c r="F23" s="195"/>
    </row>
    <row r="24" spans="2:5" ht="12.75">
      <c r="B24" s="441"/>
      <c r="C24" s="438"/>
      <c r="D24" s="438"/>
      <c r="E24" s="263"/>
    </row>
    <row r="25" spans="2:5" ht="12.75">
      <c r="B25" s="441"/>
      <c r="C25" s="438"/>
      <c r="D25" s="438"/>
      <c r="E25" s="263"/>
    </row>
    <row r="26" spans="1:5" ht="12.75">
      <c r="A26" s="195"/>
      <c r="B26" s="441"/>
      <c r="C26" s="437"/>
      <c r="D26" s="437"/>
      <c r="E26" s="263"/>
    </row>
    <row r="27" spans="1:5" ht="12.75">
      <c r="A27" s="195"/>
      <c r="B27" s="441"/>
      <c r="C27" s="437"/>
      <c r="D27" s="437"/>
      <c r="E27" s="263"/>
    </row>
    <row r="28" spans="1:6" s="355" customFormat="1" ht="15.75">
      <c r="A28" s="353"/>
      <c r="B28" s="442"/>
      <c r="C28" s="354"/>
      <c r="D28" s="354"/>
      <c r="E28" s="263"/>
      <c r="F28"/>
    </row>
    <row r="29" spans="5:6" ht="12.75">
      <c r="E29" s="708"/>
      <c r="F29" s="708"/>
    </row>
    <row r="33" spans="3:4" ht="12.75">
      <c r="C33" s="34"/>
      <c r="D33" s="542"/>
    </row>
  </sheetData>
  <sheetProtection/>
  <mergeCells count="13">
    <mergeCell ref="A8:F8"/>
    <mergeCell ref="E29:F29"/>
    <mergeCell ref="A17:F18"/>
    <mergeCell ref="D3:D4"/>
    <mergeCell ref="A16:F16"/>
    <mergeCell ref="A12:F12"/>
    <mergeCell ref="F3:F4"/>
    <mergeCell ref="A1:F1"/>
    <mergeCell ref="A2:F2"/>
    <mergeCell ref="B3:B4"/>
    <mergeCell ref="C3:C4"/>
    <mergeCell ref="A3:A4"/>
    <mergeCell ref="E3:E4"/>
  </mergeCells>
  <printOptions/>
  <pageMargins left="0.58" right="0.12" top="0.75" bottom="1" header="0.4921259845" footer="0.4921259845"/>
  <pageSetup horizontalDpi="300" verticalDpi="300" orientation="portrait" paperSize="9" scale="95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kamenicky</dc:creator>
  <cp:keywords/>
  <dc:description/>
  <cp:lastModifiedBy>A</cp:lastModifiedBy>
  <cp:lastPrinted>2015-04-23T11:13:22Z</cp:lastPrinted>
  <dcterms:created xsi:type="dcterms:W3CDTF">2006-09-20T05:43:56Z</dcterms:created>
  <dcterms:modified xsi:type="dcterms:W3CDTF">2015-06-15T11:03:28Z</dcterms:modified>
  <cp:category/>
  <cp:version/>
  <cp:contentType/>
  <cp:contentStatus/>
</cp:coreProperties>
</file>