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12" windowWidth="12120" windowHeight="8448" tabRatio="598" activeTab="3"/>
  </bookViews>
  <sheets>
    <sheet name="BEŽNÉ PRÍJMY" sheetId="4" r:id="rId1"/>
    <sheet name="BEŽNÉ VÝDAVKY" sheetId="1" r:id="rId2"/>
    <sheet name="KAPITÁLOVÉ PRÍJMY" sheetId="2" r:id="rId3"/>
    <sheet name="KAPITÁL0VÉ VÝDAVKY" sheetId="3" r:id="rId4"/>
    <sheet name="FINANČNÉ OPERÁCIE" sheetId="5" r:id="rId5"/>
    <sheet name="HOSP." sheetId="6" r:id="rId6"/>
  </sheets>
  <definedNames>
    <definedName name="_xlnm.Print_Area" localSheetId="3">'KAPITÁL0VÉ VÝDAVKY'!$A$1:$J$105</definedName>
  </definedNames>
  <calcPr calcId="124519"/>
</workbook>
</file>

<file path=xl/calcChain.xml><?xml version="1.0" encoding="utf-8"?>
<calcChain xmlns="http://schemas.openxmlformats.org/spreadsheetml/2006/main">
  <c r="H44" i="4"/>
  <c r="H85" i="3"/>
  <c r="H72" i="1"/>
  <c r="H10" i="5"/>
  <c r="E5"/>
  <c r="H5"/>
  <c r="I5"/>
  <c r="J5"/>
  <c r="F6"/>
  <c r="F5" s="1"/>
  <c r="F15" s="1"/>
  <c r="C13" i="6" s="1"/>
  <c r="J6" i="5"/>
  <c r="G7"/>
  <c r="G5" s="1"/>
  <c r="G15" s="1"/>
  <c r="D13" i="6" s="1"/>
  <c r="J7" i="5"/>
  <c r="E8"/>
  <c r="F8"/>
  <c r="G8"/>
  <c r="H8"/>
  <c r="I8"/>
  <c r="J8"/>
  <c r="J9"/>
  <c r="J10"/>
  <c r="J11"/>
  <c r="J12"/>
  <c r="J13"/>
  <c r="J14"/>
  <c r="E15"/>
  <c r="B13" i="6" s="1"/>
  <c r="B15" s="1"/>
  <c r="H15" i="5"/>
  <c r="E13" i="6" s="1"/>
  <c r="I15" i="5"/>
  <c r="F13" i="6" s="1"/>
  <c r="J15" i="5"/>
  <c r="E20"/>
  <c r="F20"/>
  <c r="H20"/>
  <c r="I20"/>
  <c r="J20"/>
  <c r="J21"/>
  <c r="J22"/>
  <c r="J23"/>
  <c r="J24"/>
  <c r="F25"/>
  <c r="G25"/>
  <c r="G20" s="1"/>
  <c r="G27" s="1"/>
  <c r="D14" i="6" s="1"/>
  <c r="J25" i="5"/>
  <c r="J26"/>
  <c r="E27"/>
  <c r="B14" i="6" s="1"/>
  <c r="F27" i="5"/>
  <c r="C14" i="6" s="1"/>
  <c r="H27" i="5"/>
  <c r="E14" i="6" s="1"/>
  <c r="I27" i="5"/>
  <c r="F14" i="6" s="1"/>
  <c r="E4" i="3"/>
  <c r="F4"/>
  <c r="J4"/>
  <c r="J5"/>
  <c r="J6"/>
  <c r="F7"/>
  <c r="G7"/>
  <c r="H7"/>
  <c r="I7"/>
  <c r="J7" s="1"/>
  <c r="J8"/>
  <c r="J9"/>
  <c r="H10"/>
  <c r="I10"/>
  <c r="J10"/>
  <c r="J11"/>
  <c r="J12"/>
  <c r="J13"/>
  <c r="J14"/>
  <c r="J15"/>
  <c r="J16"/>
  <c r="J17"/>
  <c r="J18"/>
  <c r="J19"/>
  <c r="J20"/>
  <c r="J21"/>
  <c r="J22"/>
  <c r="J23"/>
  <c r="H24"/>
  <c r="I24"/>
  <c r="J24"/>
  <c r="J25"/>
  <c r="J26"/>
  <c r="J27"/>
  <c r="J28"/>
  <c r="J29"/>
  <c r="H30"/>
  <c r="J30" s="1"/>
  <c r="J31"/>
  <c r="J32"/>
  <c r="J33"/>
  <c r="J34"/>
  <c r="J35"/>
  <c r="J36"/>
  <c r="J37"/>
  <c r="J38"/>
  <c r="J39"/>
  <c r="J40"/>
  <c r="J41"/>
  <c r="J42"/>
  <c r="F43"/>
  <c r="J43"/>
  <c r="J44"/>
  <c r="J45"/>
  <c r="H46"/>
  <c r="J46" s="1"/>
  <c r="J47"/>
  <c r="J48"/>
  <c r="H49"/>
  <c r="I49"/>
  <c r="J49"/>
  <c r="J50"/>
  <c r="J51"/>
  <c r="J52"/>
  <c r="J53"/>
  <c r="J54"/>
  <c r="J55"/>
  <c r="J56"/>
  <c r="J57"/>
  <c r="J58"/>
  <c r="J59"/>
  <c r="J60"/>
  <c r="J61"/>
  <c r="J62"/>
  <c r="J63"/>
  <c r="J64"/>
  <c r="J65"/>
  <c r="J71"/>
  <c r="J72"/>
  <c r="J73"/>
  <c r="J74"/>
  <c r="J75"/>
  <c r="J76"/>
  <c r="J77"/>
  <c r="J78"/>
  <c r="J79"/>
  <c r="J80"/>
  <c r="J81"/>
  <c r="J82"/>
  <c r="I83"/>
  <c r="H84"/>
  <c r="H83" s="1"/>
  <c r="H105" s="1"/>
  <c r="J85"/>
  <c r="J86"/>
  <c r="J87"/>
  <c r="J88"/>
  <c r="J89"/>
  <c r="J90"/>
  <c r="H91"/>
  <c r="I91"/>
  <c r="J91"/>
  <c r="J92"/>
  <c r="J93"/>
  <c r="H94"/>
  <c r="J94"/>
  <c r="J95"/>
  <c r="H96"/>
  <c r="I96"/>
  <c r="J96"/>
  <c r="J97"/>
  <c r="J98"/>
  <c r="J99"/>
  <c r="J100"/>
  <c r="J101"/>
  <c r="J102"/>
  <c r="H103"/>
  <c r="I103"/>
  <c r="J103" s="1"/>
  <c r="J104"/>
  <c r="E105"/>
  <c r="B10" i="6" s="1"/>
  <c r="F105" i="3"/>
  <c r="C10" i="6" s="1"/>
  <c r="G105" i="3"/>
  <c r="D10" i="6" s="1"/>
  <c r="E7" i="2"/>
  <c r="E6" s="1"/>
  <c r="E5" s="1"/>
  <c r="F7"/>
  <c r="F6" s="1"/>
  <c r="F5" s="1"/>
  <c r="G7"/>
  <c r="G6" s="1"/>
  <c r="G5" s="1"/>
  <c r="H7"/>
  <c r="H6" s="1"/>
  <c r="H5" s="1"/>
  <c r="I7"/>
  <c r="I6" s="1"/>
  <c r="J7"/>
  <c r="J8"/>
  <c r="J9"/>
  <c r="E10"/>
  <c r="F10"/>
  <c r="G10"/>
  <c r="H10"/>
  <c r="I10"/>
  <c r="J10"/>
  <c r="J11"/>
  <c r="J12"/>
  <c r="J13"/>
  <c r="J14"/>
  <c r="J15"/>
  <c r="E17"/>
  <c r="F17"/>
  <c r="F16" s="1"/>
  <c r="F53" s="1"/>
  <c r="C9" i="6" s="1"/>
  <c r="C11" s="1"/>
  <c r="G17" i="2"/>
  <c r="I17"/>
  <c r="J17" s="1"/>
  <c r="H18"/>
  <c r="H17" s="1"/>
  <c r="H16" s="1"/>
  <c r="H53" s="1"/>
  <c r="E9" i="6" s="1"/>
  <c r="I18" i="2"/>
  <c r="J18"/>
  <c r="H19"/>
  <c r="J19"/>
  <c r="H20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F49"/>
  <c r="I49"/>
  <c r="J49" s="1"/>
  <c r="E50"/>
  <c r="E49" s="1"/>
  <c r="F50"/>
  <c r="G50"/>
  <c r="G49" s="1"/>
  <c r="I50"/>
  <c r="J50"/>
  <c r="J51"/>
  <c r="J52"/>
  <c r="E4" i="1"/>
  <c r="F4"/>
  <c r="G4"/>
  <c r="H4"/>
  <c r="I4"/>
  <c r="J4"/>
  <c r="J5"/>
  <c r="J6"/>
  <c r="J7"/>
  <c r="J8"/>
  <c r="E9"/>
  <c r="F9"/>
  <c r="H9"/>
  <c r="I9"/>
  <c r="J9"/>
  <c r="J10"/>
  <c r="G11"/>
  <c r="G9" s="1"/>
  <c r="J11"/>
  <c r="J12"/>
  <c r="E13"/>
  <c r="F13"/>
  <c r="G13"/>
  <c r="H13"/>
  <c r="I13"/>
  <c r="J13"/>
  <c r="J14"/>
  <c r="J15"/>
  <c r="J16"/>
  <c r="J17"/>
  <c r="E18"/>
  <c r="F18"/>
  <c r="H18"/>
  <c r="I18"/>
  <c r="J18"/>
  <c r="J19"/>
  <c r="J20"/>
  <c r="G21"/>
  <c r="G18" s="1"/>
  <c r="J21"/>
  <c r="J22"/>
  <c r="J23"/>
  <c r="E24"/>
  <c r="F24"/>
  <c r="G24"/>
  <c r="H24"/>
  <c r="I24"/>
  <c r="J24"/>
  <c r="F25"/>
  <c r="J25"/>
  <c r="E26"/>
  <c r="F26"/>
  <c r="G26"/>
  <c r="H26"/>
  <c r="I26"/>
  <c r="J26"/>
  <c r="J27"/>
  <c r="E28"/>
  <c r="G28"/>
  <c r="H28"/>
  <c r="I28"/>
  <c r="J28" s="1"/>
  <c r="J29"/>
  <c r="J30"/>
  <c r="F31"/>
  <c r="F28" s="1"/>
  <c r="J31"/>
  <c r="J32"/>
  <c r="E33"/>
  <c r="F33"/>
  <c r="G33"/>
  <c r="H33"/>
  <c r="I33"/>
  <c r="J33"/>
  <c r="J34"/>
  <c r="E35"/>
  <c r="F35"/>
  <c r="G35"/>
  <c r="H35"/>
  <c r="I35"/>
  <c r="J35" s="1"/>
  <c r="J36"/>
  <c r="J37"/>
  <c r="J38"/>
  <c r="J39"/>
  <c r="E40"/>
  <c r="F40"/>
  <c r="G40"/>
  <c r="H40"/>
  <c r="I40"/>
  <c r="J40" s="1"/>
  <c r="J41"/>
  <c r="E42"/>
  <c r="F42"/>
  <c r="G42"/>
  <c r="H42"/>
  <c r="I42"/>
  <c r="J42"/>
  <c r="J43"/>
  <c r="J44"/>
  <c r="F45"/>
  <c r="J45"/>
  <c r="E46"/>
  <c r="F46"/>
  <c r="G46"/>
  <c r="H46"/>
  <c r="I46"/>
  <c r="J46"/>
  <c r="J47"/>
  <c r="J48"/>
  <c r="J49"/>
  <c r="J50"/>
  <c r="E52"/>
  <c r="E51" s="1"/>
  <c r="F52"/>
  <c r="F51" s="1"/>
  <c r="G52"/>
  <c r="G51" s="1"/>
  <c r="H52"/>
  <c r="H51" s="1"/>
  <c r="I52"/>
  <c r="I51" s="1"/>
  <c r="J52"/>
  <c r="J53"/>
  <c r="J54"/>
  <c r="H55"/>
  <c r="J55"/>
  <c r="H56"/>
  <c r="J56"/>
  <c r="J57"/>
  <c r="H58"/>
  <c r="J58" s="1"/>
  <c r="H59"/>
  <c r="J59" s="1"/>
  <c r="J60"/>
  <c r="J61"/>
  <c r="J62"/>
  <c r="J63"/>
  <c r="J64"/>
  <c r="J65"/>
  <c r="J66"/>
  <c r="J67"/>
  <c r="J68"/>
  <c r="E69"/>
  <c r="F69"/>
  <c r="G69"/>
  <c r="I69"/>
  <c r="J70"/>
  <c r="H71"/>
  <c r="J71" s="1"/>
  <c r="J72"/>
  <c r="E73"/>
  <c r="F73"/>
  <c r="I73"/>
  <c r="J73"/>
  <c r="J74"/>
  <c r="E75"/>
  <c r="F75"/>
  <c r="G75"/>
  <c r="H75"/>
  <c r="I75"/>
  <c r="J75" s="1"/>
  <c r="J76"/>
  <c r="J77"/>
  <c r="J78"/>
  <c r="J79"/>
  <c r="E80"/>
  <c r="F80"/>
  <c r="G80"/>
  <c r="H80"/>
  <c r="I80"/>
  <c r="J80" s="1"/>
  <c r="J81"/>
  <c r="J82"/>
  <c r="J83"/>
  <c r="J84"/>
  <c r="E85"/>
  <c r="G85"/>
  <c r="I85"/>
  <c r="J86"/>
  <c r="G87"/>
  <c r="J87"/>
  <c r="J88"/>
  <c r="J89"/>
  <c r="J90"/>
  <c r="J91"/>
  <c r="G92"/>
  <c r="J92"/>
  <c r="J93"/>
  <c r="J94"/>
  <c r="J95"/>
  <c r="F96"/>
  <c r="F85" s="1"/>
  <c r="J96"/>
  <c r="H97"/>
  <c r="H85" s="1"/>
  <c r="J98"/>
  <c r="J99"/>
  <c r="F100"/>
  <c r="J100"/>
  <c r="G101"/>
  <c r="J101"/>
  <c r="E102"/>
  <c r="F102"/>
  <c r="G102"/>
  <c r="H102"/>
  <c r="I102"/>
  <c r="J102" s="1"/>
  <c r="J103"/>
  <c r="E104"/>
  <c r="F104"/>
  <c r="G104"/>
  <c r="H104"/>
  <c r="I104"/>
  <c r="J104"/>
  <c r="J105"/>
  <c r="E106"/>
  <c r="G106"/>
  <c r="H106"/>
  <c r="I106"/>
  <c r="J106" s="1"/>
  <c r="J107"/>
  <c r="J108"/>
  <c r="F109"/>
  <c r="F106" s="1"/>
  <c r="J109"/>
  <c r="J110"/>
  <c r="J111"/>
  <c r="E112"/>
  <c r="F112"/>
  <c r="G112"/>
  <c r="H112"/>
  <c r="I112"/>
  <c r="J112" s="1"/>
  <c r="J113"/>
  <c r="J114"/>
  <c r="J115"/>
  <c r="J116"/>
  <c r="E117"/>
  <c r="G117"/>
  <c r="I117"/>
  <c r="F118"/>
  <c r="F117" s="1"/>
  <c r="H118"/>
  <c r="H117" s="1"/>
  <c r="J118"/>
  <c r="J119"/>
  <c r="H120"/>
  <c r="J120" s="1"/>
  <c r="J121"/>
  <c r="J122"/>
  <c r="J123"/>
  <c r="J124"/>
  <c r="J125"/>
  <c r="H126"/>
  <c r="J126"/>
  <c r="E127"/>
  <c r="F127"/>
  <c r="G127"/>
  <c r="H127"/>
  <c r="I127"/>
  <c r="J127"/>
  <c r="J128"/>
  <c r="J129"/>
  <c r="E130"/>
  <c r="F130"/>
  <c r="H130"/>
  <c r="I130"/>
  <c r="J130"/>
  <c r="H131"/>
  <c r="J131"/>
  <c r="G132"/>
  <c r="G130" s="1"/>
  <c r="J132"/>
  <c r="J133"/>
  <c r="E135"/>
  <c r="F135"/>
  <c r="G135"/>
  <c r="H135"/>
  <c r="H134" s="1"/>
  <c r="I135"/>
  <c r="J136"/>
  <c r="J137"/>
  <c r="J138"/>
  <c r="J139"/>
  <c r="E140"/>
  <c r="G140"/>
  <c r="H140"/>
  <c r="I140"/>
  <c r="J140" s="1"/>
  <c r="F141"/>
  <c r="F140" s="1"/>
  <c r="G141"/>
  <c r="J141"/>
  <c r="J142"/>
  <c r="J143"/>
  <c r="J144"/>
  <c r="J145"/>
  <c r="J146"/>
  <c r="J147"/>
  <c r="G148"/>
  <c r="J148"/>
  <c r="E149"/>
  <c r="F149"/>
  <c r="G149"/>
  <c r="H149"/>
  <c r="I149"/>
  <c r="J149"/>
  <c r="J150"/>
  <c r="J151"/>
  <c r="H152"/>
  <c r="J152"/>
  <c r="J153"/>
  <c r="I154"/>
  <c r="E155"/>
  <c r="F155"/>
  <c r="F154" s="1"/>
  <c r="G155"/>
  <c r="G154" s="1"/>
  <c r="I155"/>
  <c r="J156"/>
  <c r="J157"/>
  <c r="F158"/>
  <c r="H158"/>
  <c r="J158" s="1"/>
  <c r="J159"/>
  <c r="J160"/>
  <c r="E161"/>
  <c r="E154" s="1"/>
  <c r="F161"/>
  <c r="J161"/>
  <c r="J162"/>
  <c r="E163"/>
  <c r="F163"/>
  <c r="G163"/>
  <c r="H163"/>
  <c r="I163"/>
  <c r="J163" s="1"/>
  <c r="J164"/>
  <c r="J165"/>
  <c r="J166"/>
  <c r="J167"/>
  <c r="J168"/>
  <c r="E169"/>
  <c r="F169"/>
  <c r="G169"/>
  <c r="H169"/>
  <c r="I169"/>
  <c r="J169"/>
  <c r="J170"/>
  <c r="J171"/>
  <c r="J172"/>
  <c r="J173"/>
  <c r="E175"/>
  <c r="E174" s="1"/>
  <c r="F175"/>
  <c r="F174" s="1"/>
  <c r="G175"/>
  <c r="G174" s="1"/>
  <c r="H175"/>
  <c r="H174" s="1"/>
  <c r="I175"/>
  <c r="I174" s="1"/>
  <c r="J174" s="1"/>
  <c r="J175"/>
  <c r="F176"/>
  <c r="J176"/>
  <c r="F177"/>
  <c r="J177"/>
  <c r="J178"/>
  <c r="J179"/>
  <c r="J180"/>
  <c r="J181"/>
  <c r="J182"/>
  <c r="F183"/>
  <c r="J183"/>
  <c r="J184"/>
  <c r="F185"/>
  <c r="H185"/>
  <c r="J185" s="1"/>
  <c r="G187"/>
  <c r="J187"/>
  <c r="J188"/>
  <c r="E6" i="4"/>
  <c r="F6"/>
  <c r="G6"/>
  <c r="H6"/>
  <c r="I6"/>
  <c r="J6" s="1"/>
  <c r="J7"/>
  <c r="E9"/>
  <c r="E8" s="1"/>
  <c r="F9"/>
  <c r="F8" s="1"/>
  <c r="G9"/>
  <c r="G8" s="1"/>
  <c r="H9"/>
  <c r="H8" s="1"/>
  <c r="I9"/>
  <c r="I8" s="1"/>
  <c r="J9"/>
  <c r="H10"/>
  <c r="J10"/>
  <c r="J11"/>
  <c r="J12"/>
  <c r="E14"/>
  <c r="E13" s="1"/>
  <c r="F14"/>
  <c r="F13" s="1"/>
  <c r="H14"/>
  <c r="H13" s="1"/>
  <c r="I14"/>
  <c r="I13" s="1"/>
  <c r="J13" s="1"/>
  <c r="J14"/>
  <c r="J15"/>
  <c r="J16"/>
  <c r="J17"/>
  <c r="J18"/>
  <c r="H19"/>
  <c r="J19"/>
  <c r="F20"/>
  <c r="G20"/>
  <c r="G14" s="1"/>
  <c r="G13" s="1"/>
  <c r="H20"/>
  <c r="J20"/>
  <c r="J21"/>
  <c r="E24"/>
  <c r="E23" s="1"/>
  <c r="F24"/>
  <c r="G24"/>
  <c r="H24"/>
  <c r="I24"/>
  <c r="I23" s="1"/>
  <c r="J24"/>
  <c r="J25"/>
  <c r="J26"/>
  <c r="J27"/>
  <c r="E28"/>
  <c r="I28"/>
  <c r="G29"/>
  <c r="G28" s="1"/>
  <c r="J29"/>
  <c r="H30"/>
  <c r="H28" s="1"/>
  <c r="J31"/>
  <c r="F32"/>
  <c r="F28" s="1"/>
  <c r="G32"/>
  <c r="H32"/>
  <c r="J32"/>
  <c r="J33"/>
  <c r="E35"/>
  <c r="E34" s="1"/>
  <c r="F35"/>
  <c r="I35"/>
  <c r="I34" s="1"/>
  <c r="G36"/>
  <c r="G35" s="1"/>
  <c r="H36"/>
  <c r="H35" s="1"/>
  <c r="J36"/>
  <c r="J37"/>
  <c r="J38"/>
  <c r="E39"/>
  <c r="I39"/>
  <c r="J40"/>
  <c r="J41"/>
  <c r="J42"/>
  <c r="F43"/>
  <c r="J43"/>
  <c r="G44"/>
  <c r="G39" s="1"/>
  <c r="J44"/>
  <c r="G45"/>
  <c r="H45"/>
  <c r="J45" s="1"/>
  <c r="F46"/>
  <c r="F39" s="1"/>
  <c r="H46"/>
  <c r="J46"/>
  <c r="H47"/>
  <c r="J47"/>
  <c r="F48"/>
  <c r="G48"/>
  <c r="J48"/>
  <c r="F49"/>
  <c r="H49"/>
  <c r="J49"/>
  <c r="E50"/>
  <c r="F50"/>
  <c r="G50"/>
  <c r="H50"/>
  <c r="I50"/>
  <c r="J50"/>
  <c r="J51"/>
  <c r="E52"/>
  <c r="F52"/>
  <c r="G52"/>
  <c r="H52"/>
  <c r="I52"/>
  <c r="J52" s="1"/>
  <c r="J53"/>
  <c r="E55"/>
  <c r="E54" s="1"/>
  <c r="G55"/>
  <c r="G54" s="1"/>
  <c r="I55"/>
  <c r="J56"/>
  <c r="J57"/>
  <c r="F58"/>
  <c r="F55" s="1"/>
  <c r="F54" s="1"/>
  <c r="H58"/>
  <c r="H55" s="1"/>
  <c r="H54" s="1"/>
  <c r="J58"/>
  <c r="J59"/>
  <c r="E62"/>
  <c r="E61" s="1"/>
  <c r="F62"/>
  <c r="G62"/>
  <c r="I62"/>
  <c r="J62" s="1"/>
  <c r="H63"/>
  <c r="H62" s="1"/>
  <c r="E64"/>
  <c r="I64"/>
  <c r="J65"/>
  <c r="J66"/>
  <c r="J67"/>
  <c r="J68"/>
  <c r="J69"/>
  <c r="H70"/>
  <c r="H64" s="1"/>
  <c r="J70"/>
  <c r="J71"/>
  <c r="F72"/>
  <c r="F64" s="1"/>
  <c r="G72"/>
  <c r="H72"/>
  <c r="J72" s="1"/>
  <c r="J73"/>
  <c r="J74"/>
  <c r="H75"/>
  <c r="J75" s="1"/>
  <c r="J76"/>
  <c r="J77"/>
  <c r="F78"/>
  <c r="G78"/>
  <c r="H78"/>
  <c r="J78" s="1"/>
  <c r="G79"/>
  <c r="G64" s="1"/>
  <c r="J79"/>
  <c r="H80"/>
  <c r="J80" s="1"/>
  <c r="H81"/>
  <c r="J81" s="1"/>
  <c r="J82"/>
  <c r="J83"/>
  <c r="J84"/>
  <c r="G85"/>
  <c r="H85"/>
  <c r="J85" s="1"/>
  <c r="J86"/>
  <c r="J87"/>
  <c r="J88"/>
  <c r="J89"/>
  <c r="J90"/>
  <c r="J91"/>
  <c r="J92"/>
  <c r="J93"/>
  <c r="J94"/>
  <c r="J95"/>
  <c r="J96"/>
  <c r="J97"/>
  <c r="J98"/>
  <c r="J99"/>
  <c r="J100"/>
  <c r="J101"/>
  <c r="J102"/>
  <c r="G103"/>
  <c r="J103"/>
  <c r="I104"/>
  <c r="J104"/>
  <c r="E105"/>
  <c r="E104" s="1"/>
  <c r="F105"/>
  <c r="F104" s="1"/>
  <c r="G105"/>
  <c r="G104" s="1"/>
  <c r="H105"/>
  <c r="H104" s="1"/>
  <c r="J105"/>
  <c r="J106"/>
  <c r="E10" i="6"/>
  <c r="E11" s="1"/>
  <c r="E15"/>
  <c r="G14"/>
  <c r="G13"/>
  <c r="J64" i="4" l="1"/>
  <c r="H61"/>
  <c r="H60" s="1"/>
  <c r="G61"/>
  <c r="G60" s="1"/>
  <c r="E60"/>
  <c r="J28"/>
  <c r="G23"/>
  <c r="E22"/>
  <c r="J8"/>
  <c r="G5"/>
  <c r="E5"/>
  <c r="E107" s="1"/>
  <c r="B5" i="6" s="1"/>
  <c r="F61" i="4"/>
  <c r="F60" s="1"/>
  <c r="J55"/>
  <c r="G34"/>
  <c r="F34"/>
  <c r="H23"/>
  <c r="F23"/>
  <c r="F22" s="1"/>
  <c r="H5"/>
  <c r="F5"/>
  <c r="F107" s="1"/>
  <c r="C5" i="6" s="1"/>
  <c r="I54" i="4"/>
  <c r="J54" s="1"/>
  <c r="H39"/>
  <c r="H34" s="1"/>
  <c r="J34" s="1"/>
  <c r="I5"/>
  <c r="H155" i="1"/>
  <c r="F134"/>
  <c r="F189" s="1"/>
  <c r="C6" i="6" s="1"/>
  <c r="J117" i="1"/>
  <c r="J85"/>
  <c r="J51"/>
  <c r="G16" i="2"/>
  <c r="G53" s="1"/>
  <c r="D9" i="6" s="1"/>
  <c r="D11" s="1"/>
  <c r="E16" i="2"/>
  <c r="E53" s="1"/>
  <c r="B9" i="6" s="1"/>
  <c r="B11" s="1"/>
  <c r="J83" i="3"/>
  <c r="I61" i="4"/>
  <c r="J63"/>
  <c r="J35"/>
  <c r="J30"/>
  <c r="J135" i="1"/>
  <c r="I134"/>
  <c r="G134"/>
  <c r="G189" s="1"/>
  <c r="D6" i="6" s="1"/>
  <c r="E134" i="1"/>
  <c r="E189" s="1"/>
  <c r="B6" i="6" s="1"/>
  <c r="I5" i="2"/>
  <c r="J5" s="1"/>
  <c r="J6"/>
  <c r="F15" i="6"/>
  <c r="D15"/>
  <c r="C15"/>
  <c r="H69" i="1"/>
  <c r="I16" i="2"/>
  <c r="J97" i="1"/>
  <c r="I105" i="3"/>
  <c r="J84"/>
  <c r="J27" i="5"/>
  <c r="J69" i="1" l="1"/>
  <c r="H189"/>
  <c r="E6" i="6" s="1"/>
  <c r="J134" i="1"/>
  <c r="I189"/>
  <c r="H154"/>
  <c r="J154" s="1"/>
  <c r="J155"/>
  <c r="C7" i="6"/>
  <c r="C19" s="1"/>
  <c r="J39" i="4"/>
  <c r="B7" i="6"/>
  <c r="B19" s="1"/>
  <c r="G22" i="4"/>
  <c r="I22"/>
  <c r="F10" i="6"/>
  <c r="G10" s="1"/>
  <c r="J105" i="3"/>
  <c r="J16" i="2"/>
  <c r="I53"/>
  <c r="J61" i="4"/>
  <c r="I60"/>
  <c r="J60" s="1"/>
  <c r="J5"/>
  <c r="I107"/>
  <c r="H107"/>
  <c r="E5" i="6" s="1"/>
  <c r="E7" s="1"/>
  <c r="E19" s="1"/>
  <c r="H22" i="4"/>
  <c r="G107"/>
  <c r="D5" i="6" s="1"/>
  <c r="D7" s="1"/>
  <c r="D19" s="1"/>
  <c r="J23" i="4"/>
  <c r="F6" i="6" l="1"/>
  <c r="G6" s="1"/>
  <c r="J189" i="1"/>
  <c r="F5" i="6"/>
  <c r="J107" i="4"/>
  <c r="F9" i="6"/>
  <c r="J53" i="2"/>
  <c r="J22" i="4"/>
  <c r="F11" i="6" l="1"/>
  <c r="G9"/>
  <c r="G5"/>
  <c r="F7"/>
  <c r="F19" s="1"/>
</calcChain>
</file>

<file path=xl/sharedStrings.xml><?xml version="1.0" encoding="utf-8"?>
<sst xmlns="http://schemas.openxmlformats.org/spreadsheetml/2006/main" count="581" uniqueCount="403">
  <si>
    <t>Časť 1.1.2. Výdavky bežného rozpočtu</t>
  </si>
  <si>
    <t>Výdavky verejnej správy, finančná a rozp.</t>
  </si>
  <si>
    <t>mzdy</t>
  </si>
  <si>
    <t>poistné</t>
  </si>
  <si>
    <t>01.1.2</t>
  </si>
  <si>
    <t xml:space="preserve">Finanč.a rozpočt.oblasť </t>
  </si>
  <si>
    <t>01.7</t>
  </si>
  <si>
    <t>Transakcie verejného dlhu</t>
  </si>
  <si>
    <t>Splátka úrokov bankám</t>
  </si>
  <si>
    <t>02.1</t>
  </si>
  <si>
    <t>Vojenská obrana</t>
  </si>
  <si>
    <t>Civilná ochrana</t>
  </si>
  <si>
    <t>03.1</t>
  </si>
  <si>
    <t>Policajné služby</t>
  </si>
  <si>
    <t>03.2</t>
  </si>
  <si>
    <t>Požiarna ochrana</t>
  </si>
  <si>
    <t>Požiarná ochrana</t>
  </si>
  <si>
    <t>04.2</t>
  </si>
  <si>
    <t>Veterinárna oblasť</t>
  </si>
  <si>
    <t>Doprava</t>
  </si>
  <si>
    <t>04.7</t>
  </si>
  <si>
    <t>Cestovný ruch</t>
  </si>
  <si>
    <t>Propagácia, reklama a inzercia</t>
  </si>
  <si>
    <t>UNESCO</t>
  </si>
  <si>
    <t>Slovenské kráľovské mestá</t>
  </si>
  <si>
    <t>04.9</t>
  </si>
  <si>
    <t>Chránená dielňa</t>
  </si>
  <si>
    <t>05.1</t>
  </si>
  <si>
    <t>Nákladanie s odpadmi</t>
  </si>
  <si>
    <t>05.4</t>
  </si>
  <si>
    <t>Stavebný úrad</t>
  </si>
  <si>
    <t xml:space="preserve">Životné prostredie </t>
  </si>
  <si>
    <t>06.1</t>
  </si>
  <si>
    <t>Štátny fond rozvoja bývania</t>
  </si>
  <si>
    <t>06.3</t>
  </si>
  <si>
    <t>Zásobovanie vodou</t>
  </si>
  <si>
    <t>08.1</t>
  </si>
  <si>
    <t>08.2</t>
  </si>
  <si>
    <t>Kultúrne služby</t>
  </si>
  <si>
    <t>Náklady na obradné siene / APO/</t>
  </si>
  <si>
    <t>08.4</t>
  </si>
  <si>
    <t>Náboženské a iné spoločenské služby</t>
  </si>
  <si>
    <t>Školstvo</t>
  </si>
  <si>
    <t>Školský úrad</t>
  </si>
  <si>
    <t>Náklady na  stredisko služieb škole</t>
  </si>
  <si>
    <t>Zariadenia sociálnych služieb - staroba</t>
  </si>
  <si>
    <t>Náklady na jedáleň</t>
  </si>
  <si>
    <t>Náklady na Klub dôchodcov</t>
  </si>
  <si>
    <t>10.4.0.3</t>
  </si>
  <si>
    <t>10.7</t>
  </si>
  <si>
    <t>Komunitná soc. práca</t>
  </si>
  <si>
    <t>Prídavky na deti</t>
  </si>
  <si>
    <t>Stravovanie HMNU</t>
  </si>
  <si>
    <t>Školské potreby - HMNU</t>
  </si>
  <si>
    <t>Jednorazová dávka primator</t>
  </si>
  <si>
    <t>04.1.2.</t>
  </si>
  <si>
    <t>Aktivačná činnosť - koordinátori</t>
  </si>
  <si>
    <t>Rozpočet bež. výdavky celkom</t>
  </si>
  <si>
    <t>Funkčná klasifikácia</t>
  </si>
  <si>
    <t>Položka</t>
  </si>
  <si>
    <t>Ukazovateľ</t>
  </si>
  <si>
    <t>tovary a služby</t>
  </si>
  <si>
    <t>01.1.1.6</t>
  </si>
  <si>
    <t>Auditorská činnosť</t>
  </si>
  <si>
    <t>Poplatky banke</t>
  </si>
  <si>
    <t>01.3.3</t>
  </si>
  <si>
    <t>09.6.0.7</t>
  </si>
  <si>
    <t>Policajné služby-mestská polícia</t>
  </si>
  <si>
    <t>600</t>
  </si>
  <si>
    <t>09.</t>
  </si>
  <si>
    <t>Prísp. neštát. subjekt.- pomoc občanom v hmotnej a sociálnej núdzi</t>
  </si>
  <si>
    <t>10.2.0.1</t>
  </si>
  <si>
    <t>10.2.0.2</t>
  </si>
  <si>
    <t>Ďalšie služby - opatrovateľská služba</t>
  </si>
  <si>
    <t>Detské jasle</t>
  </si>
  <si>
    <t>Časť 1.1.1. Príjmy bežného rozpočtu</t>
  </si>
  <si>
    <t>Daňové príjmy</t>
  </si>
  <si>
    <t>dane z príj.,ziskov kapitalového majetku</t>
  </si>
  <si>
    <t>daň z nehnuteľnosti</t>
  </si>
  <si>
    <t>dane za špecifické služby</t>
  </si>
  <si>
    <t>Za psa FO a PO</t>
  </si>
  <si>
    <t>Za zábavné hracie prístroje</t>
  </si>
  <si>
    <t>Za predajné automaty</t>
  </si>
  <si>
    <t>Daň za ubytovanie</t>
  </si>
  <si>
    <t>Príjem za TKO FO</t>
  </si>
  <si>
    <t>Príjem za TKO PO</t>
  </si>
  <si>
    <t xml:space="preserve"> </t>
  </si>
  <si>
    <t>Dividendy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</si>
  <si>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</si>
  <si>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</si>
  <si>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</si>
  <si>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</si>
  <si>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soc. bytov</t>
  </si>
  <si>
    <t>administra .a iné popl. a platby z toho:</t>
  </si>
  <si>
    <t xml:space="preserve">     správne poplatky</t>
  </si>
  <si>
    <t>Poplatky a platby z nepr. a náh.pr.služ.</t>
  </si>
  <si>
    <t>Príjem za opatrovateľskú službu</t>
  </si>
  <si>
    <t>Za stravné v Jedálni-šek</t>
  </si>
  <si>
    <t>Za stravné ostatné -zamestnanci</t>
  </si>
  <si>
    <t>Príjem za stravu Detské Jasle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</si>
  <si>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</si>
  <si>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</si>
  <si>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</si>
  <si>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</si>
  <si>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</si>
  <si>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</si>
  <si>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0,5% - výťažok z lotérie</t>
  </si>
  <si>
    <t>Zahraničné granty</t>
  </si>
  <si>
    <t>Bežné príjmy celkom</t>
  </si>
  <si>
    <t>Kategória</t>
  </si>
  <si>
    <t>Výnos dane z príjmov poukázaný územnej samospráve</t>
  </si>
  <si>
    <t xml:space="preserve">    - z pozemkov</t>
  </si>
  <si>
    <t xml:space="preserve">    - zo stavieb</t>
  </si>
  <si>
    <t xml:space="preserve">    - z bytov</t>
  </si>
  <si>
    <t>Dane z majetku</t>
  </si>
  <si>
    <t>Domáce dane na tovary a služby</t>
  </si>
  <si>
    <t>Nedaňové príjmy</t>
  </si>
  <si>
    <t>príjmy z podnikania a vlastníctva majetku</t>
  </si>
  <si>
    <t>Administratívne poplatky</t>
  </si>
  <si>
    <t>Granty a transfery</t>
  </si>
  <si>
    <t>Tuzemské bežné granty a transfery</t>
  </si>
  <si>
    <t>Granty</t>
  </si>
  <si>
    <t>Transfery na rovnakej úrovni</t>
  </si>
  <si>
    <t>Bežné</t>
  </si>
  <si>
    <t>U k a z o v a t e ľ</t>
  </si>
  <si>
    <t xml:space="preserve">kapitalové príjmy </t>
  </si>
  <si>
    <t xml:space="preserve">     z predaja hnuteľného majetku</t>
  </si>
  <si>
    <t>Kapitalové granty a transfery</t>
  </si>
  <si>
    <t>Kapitalové príjmy celkom</t>
  </si>
  <si>
    <t>Príjem z predaja kapitálových aktív</t>
  </si>
  <si>
    <t>Príjem z predaja pozemkov</t>
  </si>
  <si>
    <t>Kapitálové</t>
  </si>
  <si>
    <t>Časť 1.2. Kapitálový rozpočet</t>
  </si>
  <si>
    <t>Časť 1.2.1. Príjmy kapitálového rozpočtu</t>
  </si>
  <si>
    <t>Časť 1.2.2. Výdavky kapitálového rozpočtu</t>
  </si>
  <si>
    <t>Verejná správa</t>
  </si>
  <si>
    <t>04.4.3</t>
  </si>
  <si>
    <t>Výstavba</t>
  </si>
  <si>
    <t>04.5.1</t>
  </si>
  <si>
    <t>Doprava-výstavba a oprava ciest</t>
  </si>
  <si>
    <t>06.1.0</t>
  </si>
  <si>
    <t>Rozvoj bývania</t>
  </si>
  <si>
    <t>06.4.0</t>
  </si>
  <si>
    <t>Verejné osvetlenie</t>
  </si>
  <si>
    <t>06.6.0</t>
  </si>
  <si>
    <t>Bývanie a občianska vybavenosť</t>
  </si>
  <si>
    <t>08.1.0</t>
  </si>
  <si>
    <t>Rekreačné a športové služby</t>
  </si>
  <si>
    <t>09.1.2.1</t>
  </si>
  <si>
    <t>Rozpočet kapitál. výdavky celkom</t>
  </si>
  <si>
    <t>08.2.0.9</t>
  </si>
  <si>
    <t xml:space="preserve">Vysielacie a vydavateľské služby </t>
  </si>
  <si>
    <t>Vysielanie mestskej televízie</t>
  </si>
  <si>
    <t>LIM</t>
  </si>
  <si>
    <t>03.1.0</t>
  </si>
  <si>
    <t>Rozpočet školstva</t>
  </si>
  <si>
    <t>Údržba ciest - Technické služby</t>
  </si>
  <si>
    <t>06.2.0</t>
  </si>
  <si>
    <t>Rozvoj obcí</t>
  </si>
  <si>
    <t>Verejná zeleň - Technické služby</t>
  </si>
  <si>
    <t>Technické služby</t>
  </si>
  <si>
    <t>Finančné operácie</t>
  </si>
  <si>
    <t>Krátkodobé úvery</t>
  </si>
  <si>
    <t>Dlhodobé úvery</t>
  </si>
  <si>
    <t>Prevod investičný fond</t>
  </si>
  <si>
    <t>Finančné operácie celkom</t>
  </si>
  <si>
    <t xml:space="preserve">Časť II. Finančné operácie </t>
  </si>
  <si>
    <t xml:space="preserve">Časť 2.1. Príjmové finančné operácie </t>
  </si>
  <si>
    <t xml:space="preserve">Časť 2.2. Výdavkové finančné operácie </t>
  </si>
  <si>
    <t>Prevod depozitu</t>
  </si>
  <si>
    <t>Príjmy z prevodov peňaž. Fondov obcí FRB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</si>
  <si>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</si>
  <si>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</si>
  <si>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</si>
  <si>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</si>
  <si>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</si>
  <si>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</si>
  <si>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</si>
  <si>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</si>
  <si>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Splácanie bankových úverov dlhodobých</t>
  </si>
  <si>
    <t>Chránená dielňa 1</t>
  </si>
  <si>
    <t>Chránená dielňa 2</t>
  </si>
  <si>
    <t>Chránená dielňa 3</t>
  </si>
  <si>
    <t>Transfer pre ostat. spol. služby</t>
  </si>
  <si>
    <t>Transfer pre členské ZMOS a ostatné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</si>
  <si>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</si>
  <si>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</si>
  <si>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</si>
  <si>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</si>
  <si>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</si>
  <si>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</si>
  <si>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</si>
  <si>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</si>
  <si>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</si>
  <si>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Prebytok/schodok  hospodárenia</t>
  </si>
  <si>
    <t>Rezervný fond</t>
  </si>
  <si>
    <t>01.6</t>
  </si>
  <si>
    <t xml:space="preserve">REKAPITULÁCIA  PRÍJMOV  A  VÝDAVKOV </t>
  </si>
  <si>
    <t>Transfer REGOB</t>
  </si>
  <si>
    <t>Iné všeobecné služby-matrika</t>
  </si>
  <si>
    <t>Ochrana životného prostredia</t>
  </si>
  <si>
    <t>Partnerské mestá</t>
  </si>
  <si>
    <t>leasing</t>
  </si>
  <si>
    <t>REGOB</t>
  </si>
  <si>
    <t>finančný prenájom</t>
  </si>
  <si>
    <t>Káblová televízia - štúdia</t>
  </si>
  <si>
    <t>Transfer KÚCD a PK</t>
  </si>
  <si>
    <t>Príspevok pre MKS</t>
  </si>
  <si>
    <t xml:space="preserve">Informačná kancelária </t>
  </si>
  <si>
    <t>Transfer pre MKS</t>
  </si>
  <si>
    <t>Divadlo - MKS</t>
  </si>
  <si>
    <t>Knižnica - MKS</t>
  </si>
  <si>
    <t>Transfery pre šport a telovýchovu</t>
  </si>
  <si>
    <t>MPV - ostatné</t>
  </si>
  <si>
    <t>kamerový systém</t>
  </si>
  <si>
    <t xml:space="preserve">Za záber VP </t>
  </si>
  <si>
    <t xml:space="preserve">MAS LEV- členské </t>
  </si>
  <si>
    <t xml:space="preserve">     z prenájmu bytov a nebyt. priestorov</t>
  </si>
  <si>
    <t>Príspevok pre TS</t>
  </si>
  <si>
    <t>Veterinár. oblasť /odchyt  psov/</t>
  </si>
  <si>
    <t>Ostat.trans.pre šport a telových.</t>
  </si>
  <si>
    <t>Náklady na školstvo-prenes. výkon</t>
  </si>
  <si>
    <t>Náklady na školstvo-originál. výkon</t>
  </si>
  <si>
    <t>zariadenie opatrovateľ.služby</t>
  </si>
  <si>
    <t>Odvod zisku Staveb.prevádzkareň s.r.o</t>
  </si>
  <si>
    <t>Tranfer na Technické služby</t>
  </si>
  <si>
    <t>Technické služby-cint. služby</t>
  </si>
  <si>
    <t>Karpatské klim. mestečká</t>
  </si>
  <si>
    <t>Voda - Lev.Lúky</t>
  </si>
  <si>
    <t>Odvod z výťažku 5%</t>
  </si>
  <si>
    <t>Splácanie bankových úverov ŠFRB</t>
  </si>
  <si>
    <t>Územný plán mesta</t>
  </si>
  <si>
    <t xml:space="preserve">Prestavba NMP I. etapa </t>
  </si>
  <si>
    <t>630</t>
  </si>
  <si>
    <t>Uzat.a rek.skládky KO D.Stráže</t>
  </si>
  <si>
    <t>ZŠ Francisciho 11 škol. infra.</t>
  </si>
  <si>
    <t>Hnedý priemyselný park</t>
  </si>
  <si>
    <t>Bytové priestory</t>
  </si>
  <si>
    <t>Nebytové priestory</t>
  </si>
  <si>
    <t xml:space="preserve">Dar "Dni Majstra Pavla" </t>
  </si>
  <si>
    <t>Splácanie bankových úverov krátkodobých</t>
  </si>
  <si>
    <t>MPV most LD</t>
  </si>
  <si>
    <t>08.4.0.</t>
  </si>
  <si>
    <t>Kostol sv. Jakuba</t>
  </si>
  <si>
    <t>Rekapitulácia</t>
  </si>
  <si>
    <t>08.2.0.</t>
  </si>
  <si>
    <t>Komuntná sociálna práca</t>
  </si>
  <si>
    <t>Dni Majstra Pavla</t>
  </si>
  <si>
    <t>Vojnové hroby</t>
  </si>
  <si>
    <t>Chránené dielne</t>
  </si>
  <si>
    <t>Povodňová aktivita</t>
  </si>
  <si>
    <t>Protipovodňové aktivity</t>
  </si>
  <si>
    <t>PD - DSS</t>
  </si>
  <si>
    <t>Dopravné značenie</t>
  </si>
  <si>
    <t>Obnova hradobného múru</t>
  </si>
  <si>
    <t>nákup objekt Pisarčiná</t>
  </si>
  <si>
    <t>Ostatné transfery na  kultúru</t>
  </si>
  <si>
    <t>Cestná doprava / transfer SAD /</t>
  </si>
  <si>
    <t>Transfer pre TS (SÚZ)</t>
  </si>
  <si>
    <t>Potravinová pomoc</t>
  </si>
  <si>
    <t>Medzinárodný zraz turistov</t>
  </si>
  <si>
    <t>Značenie Levočské vrchy</t>
  </si>
  <si>
    <t>MPV Ovocinárska</t>
  </si>
  <si>
    <t>Lev. Lúky - zádveria</t>
  </si>
  <si>
    <t>chata Kohlwald</t>
  </si>
  <si>
    <t>Časť 1.1 Bežný rozpočet</t>
  </si>
  <si>
    <t>Spevnenie svahu sidl. Západ</t>
  </si>
  <si>
    <t>Odkanalizovanie ul. Štúrová</t>
  </si>
  <si>
    <t xml:space="preserve">Prestavba N.M.P. I. etapa </t>
  </si>
  <si>
    <t>Projektová dokumentácia</t>
  </si>
  <si>
    <t>Podvozok nosič nadstavby</t>
  </si>
  <si>
    <t xml:space="preserve">kamerový systém </t>
  </si>
  <si>
    <t>Daň z príjmu</t>
  </si>
  <si>
    <t>Radnica a zvonica NMP č.2</t>
  </si>
  <si>
    <t>MK Radnica a zvonica NMP č.2</t>
  </si>
  <si>
    <t>Oprava parkanového múru</t>
  </si>
  <si>
    <t>MK Oprava parkanového múru</t>
  </si>
  <si>
    <t>odvodnenie, sídl. Pri prameni</t>
  </si>
  <si>
    <t>prejazdová váha - stavebné práce</t>
  </si>
  <si>
    <t>bežné transfery</t>
  </si>
  <si>
    <t>voľby</t>
  </si>
  <si>
    <t>Prevod na fond nevyčerpaných dotácií</t>
  </si>
  <si>
    <t>Za propagáciu</t>
  </si>
  <si>
    <t>Prestavba NMP I. etapa</t>
  </si>
  <si>
    <t xml:space="preserve">Rekonštr. a moder. rekr.+ oddych. zón </t>
  </si>
  <si>
    <t>L. Lúky - sklady palív a úprava vstupov</t>
  </si>
  <si>
    <t>Levočská Dolina (Suchý)</t>
  </si>
  <si>
    <t>ul. V. Greschika – garáže</t>
  </si>
  <si>
    <t>Levočské Lúky majetkoprávne vysp.</t>
  </si>
  <si>
    <t>z pozemkov</t>
  </si>
  <si>
    <t>Nám. Majstra Pavla 50,51 -PD (FRB)</t>
  </si>
  <si>
    <t>MPV stavba Strelnica</t>
  </si>
  <si>
    <t>Prestavba NMP - I.etapa - Exter. manaž.</t>
  </si>
  <si>
    <t xml:space="preserve">Osobitný príjemca </t>
  </si>
  <si>
    <t>Nám. Š. Kluberta – pomer. mer. tepla (FRB)</t>
  </si>
  <si>
    <t>Separovvaný zber - spolufin. Projektu</t>
  </si>
  <si>
    <t>10.7.</t>
  </si>
  <si>
    <t>05.2.0</t>
  </si>
  <si>
    <t>Nakladanie s odpadovými vodami</t>
  </si>
  <si>
    <t>ČOV, parkoviská - stočné</t>
  </si>
  <si>
    <t>refundácia projektov</t>
  </si>
  <si>
    <t xml:space="preserve">Karpatské klim. mestečká </t>
  </si>
  <si>
    <t>Dotácia cesty</t>
  </si>
  <si>
    <t>fond nevyčerpaných dotácií</t>
  </si>
  <si>
    <t>Projekt - rozvoj turizmu v regióne</t>
  </si>
  <si>
    <t>Neštátne školstvo</t>
  </si>
  <si>
    <t>Dotácia ŠR - školstvo</t>
  </si>
  <si>
    <t>Nakladanie s odpadmi</t>
  </si>
  <si>
    <t xml:space="preserve">Znalecký posudok </t>
  </si>
  <si>
    <t>Poistné</t>
  </si>
  <si>
    <t>ostatné</t>
  </si>
  <si>
    <t>dot. na  obnovu kult. pamiatok</t>
  </si>
  <si>
    <t xml:space="preserve">     právne zastupovanie</t>
  </si>
  <si>
    <t xml:space="preserve">     z prenájmu nehnuteľností HPZ</t>
  </si>
  <si>
    <t>komunitné centrum</t>
  </si>
  <si>
    <t xml:space="preserve">vzdelávanie seniorov </t>
  </si>
  <si>
    <t>modernizácia autobusových zastávok</t>
  </si>
  <si>
    <t xml:space="preserve">Kultúra- puto spájajúce obyvateľov vidieka </t>
  </si>
  <si>
    <t>Byty</t>
  </si>
  <si>
    <t xml:space="preserve">kino </t>
  </si>
  <si>
    <t>digitlizácia kina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</si>
  <si>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</si>
  <si>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>Lyžiarske trate</t>
  </si>
  <si>
    <t>Osobitný príjemca - mesto</t>
  </si>
  <si>
    <t xml:space="preserve">     pokuty, penále a sankcie</t>
  </si>
  <si>
    <t>ostatné príjmy</t>
  </si>
  <si>
    <t xml:space="preserve">Prestavba N.M.P. II. etapa </t>
  </si>
  <si>
    <t>obnova oddychovej zóny Schiessplatz</t>
  </si>
  <si>
    <t>Voľnočasové aktivity</t>
  </si>
  <si>
    <t>Galéria</t>
  </si>
  <si>
    <t>Voľnočasové aktivity CVČ</t>
  </si>
  <si>
    <t>Tréningová hala</t>
  </si>
  <si>
    <t>Skutočnosť 2013</t>
  </si>
  <si>
    <t>Skutočnosť 2012</t>
  </si>
  <si>
    <t>prevencia kriminality</t>
  </si>
  <si>
    <t>Dom meštiansky - galéria</t>
  </si>
  <si>
    <t>Parkovacie plochy</t>
  </si>
  <si>
    <t>Premostenie Lev. Potoka</t>
  </si>
  <si>
    <t>Pódium</t>
  </si>
  <si>
    <t>MK Kostol sv. Jakuba</t>
  </si>
  <si>
    <t>ZŠ G. Haina 37 škol. infra.</t>
  </si>
  <si>
    <t>obce TKO</t>
  </si>
  <si>
    <t>ZUŠ - chránené dielne</t>
  </si>
  <si>
    <t>Za predaj tovarov a služieb</t>
  </si>
  <si>
    <t>% plnenia</t>
  </si>
  <si>
    <t>Skutočnosť 2014</t>
  </si>
  <si>
    <t xml:space="preserve">Hradobný múr </t>
  </si>
  <si>
    <t>Recyklačný fond</t>
  </si>
  <si>
    <t>Povodne</t>
  </si>
  <si>
    <t>oddychová zóna</t>
  </si>
  <si>
    <t>modernizácia verejných priestranstiev</t>
  </si>
  <si>
    <t>úprava verejných priestranstiev</t>
  </si>
  <si>
    <t xml:space="preserve">Byty </t>
  </si>
  <si>
    <t>oddychové zóny</t>
  </si>
  <si>
    <t>Parkovacie plochy - etapa 3.2</t>
  </si>
  <si>
    <t>Vrátky</t>
  </si>
  <si>
    <t>Hradobný múr</t>
  </si>
  <si>
    <t>Projekty - školy</t>
  </si>
  <si>
    <t>PeadDr. Milan Majerský</t>
  </si>
  <si>
    <t>Skutočnosť 2015</t>
  </si>
  <si>
    <t>Upravený rozpočet 2015</t>
  </si>
  <si>
    <t xml:space="preserve">Zvesené: </t>
  </si>
  <si>
    <t>refundácia projektov - krátkodobý úver</t>
  </si>
  <si>
    <t>Urbanistická štúdia garáže sídl. Západ</t>
  </si>
  <si>
    <t>Rekonštrukcia WC Kocka</t>
  </si>
  <si>
    <t>Dni Majstra Pavla - MKS</t>
  </si>
  <si>
    <t>Radnica a Zvonica NMP 2</t>
  </si>
  <si>
    <t>Dom meštiansky, NMP č.43</t>
  </si>
  <si>
    <t>NMP č.4</t>
  </si>
  <si>
    <t>Prevencia kriminality</t>
  </si>
  <si>
    <t>Obnova verejného osvetlenia</t>
  </si>
  <si>
    <t>Sanácia miest s nelegálnym odpadom</t>
  </si>
  <si>
    <t>Technické zhodnotenie - poliklinika</t>
  </si>
  <si>
    <t>Kostol sv. Jakuba - strecha</t>
  </si>
  <si>
    <t>NMP č.4 - portál</t>
  </si>
  <si>
    <t>Kostol sv. Jakuba - veža</t>
  </si>
  <si>
    <t>Klietka hanby</t>
  </si>
  <si>
    <t>Spevnené plochy a komunikácie</t>
  </si>
  <si>
    <t>Zábradlie Križný potok</t>
  </si>
  <si>
    <t>Parkovisko -ul. Športovcov</t>
  </si>
  <si>
    <t>schody okružná</t>
  </si>
  <si>
    <t>chodník - Kláštorská</t>
  </si>
  <si>
    <t>Kaplnka Levočské Lúky, NN prípojka</t>
  </si>
  <si>
    <t>Odvodnenie garáží sidl. Západ</t>
  </si>
  <si>
    <t>Košická brána - odvlhčenie</t>
  </si>
  <si>
    <t>preložka VN</t>
  </si>
  <si>
    <t>Sociálne zariadenia Mariánska hora</t>
  </si>
  <si>
    <t xml:space="preserve">MPV pozemkov pre autobus. zastávku </t>
  </si>
  <si>
    <t>Auto</t>
  </si>
  <si>
    <t>MPV Levočská Dolina</t>
  </si>
  <si>
    <t>Zimný štadión</t>
  </si>
  <si>
    <t>Transfer pre TS</t>
  </si>
  <si>
    <t>Plynová a kanalizačná prípojka</t>
  </si>
  <si>
    <t xml:space="preserve">Rolba </t>
  </si>
  <si>
    <t>kocka - strecha</t>
  </si>
  <si>
    <t>Ihrisko WORK OUT</t>
  </si>
  <si>
    <t>Ihrisko WORK OUT - dopadová plocha</t>
  </si>
  <si>
    <t>ZŠ Francisciho - vybavenie ŠJ</t>
  </si>
  <si>
    <t>MŠ Francisciho - teplo</t>
  </si>
  <si>
    <t>MŠ Francisciho - strecha</t>
  </si>
  <si>
    <t>Predaj akcií</t>
  </si>
  <si>
    <t>Vyvesené: 02.05.2016</t>
  </si>
  <si>
    <t>primátor mesta</t>
  </si>
</sst>
</file>

<file path=xl/styles.xml><?xml version="1.0" encoding="utf-8"?>
<styleSheet xmlns="http://schemas.openxmlformats.org/spreadsheetml/2006/main">
  <numFmts count="2">
    <numFmt numFmtId="164" formatCode="#,##0\ _S_k"/>
    <numFmt numFmtId="165" formatCode="#,##0.0000"/>
  </numFmts>
  <fonts count="28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b/>
      <sz val="10"/>
      <name val="Arial CE"/>
      <charset val="238"/>
    </font>
    <font>
      <b/>
      <sz val="11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"/>
      <family val="2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10"/>
      <name val="Arial"/>
      <family val="2"/>
    </font>
    <font>
      <sz val="10"/>
      <name val="Arial"/>
      <family val="2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 CE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67">
    <xf numFmtId="0" fontId="0" fillId="0" borderId="0" xfId="0"/>
    <xf numFmtId="0" fontId="2" fillId="0" borderId="1" xfId="0" applyFont="1" applyBorder="1"/>
    <xf numFmtId="3" fontId="2" fillId="0" borderId="1" xfId="0" applyNumberFormat="1" applyFont="1" applyBorder="1"/>
    <xf numFmtId="0" fontId="4" fillId="0" borderId="2" xfId="0" applyFont="1" applyBorder="1"/>
    <xf numFmtId="0" fontId="2" fillId="0" borderId="3" xfId="0" applyFont="1" applyBorder="1"/>
    <xf numFmtId="0" fontId="4" fillId="0" borderId="4" xfId="0" applyFont="1" applyFill="1" applyBorder="1"/>
    <xf numFmtId="3" fontId="2" fillId="0" borderId="1" xfId="0" applyNumberFormat="1" applyFont="1" applyFill="1" applyBorder="1"/>
    <xf numFmtId="0" fontId="5" fillId="0" borderId="3" xfId="0" applyFont="1" applyFill="1" applyBorder="1"/>
    <xf numFmtId="0" fontId="4" fillId="0" borderId="1" xfId="0" applyFont="1" applyFill="1" applyBorder="1"/>
    <xf numFmtId="3" fontId="4" fillId="0" borderId="1" xfId="0" applyNumberFormat="1" applyFont="1" applyFill="1" applyBorder="1"/>
    <xf numFmtId="0" fontId="4" fillId="0" borderId="5" xfId="0" applyFont="1" applyFill="1" applyBorder="1"/>
    <xf numFmtId="0" fontId="4" fillId="0" borderId="2" xfId="0" applyFont="1" applyFill="1" applyBorder="1"/>
    <xf numFmtId="0" fontId="6" fillId="0" borderId="0" xfId="0" applyFont="1" applyFill="1" applyAlignment="1"/>
    <xf numFmtId="0" fontId="4" fillId="0" borderId="6" xfId="0" applyFont="1" applyFill="1" applyBorder="1"/>
    <xf numFmtId="3" fontId="4" fillId="0" borderId="6" xfId="0" applyNumberFormat="1" applyFont="1" applyFill="1" applyBorder="1"/>
    <xf numFmtId="0" fontId="4" fillId="0" borderId="7" xfId="0" applyFont="1" applyFill="1" applyBorder="1"/>
    <xf numFmtId="3" fontId="4" fillId="0" borderId="7" xfId="0" applyNumberFormat="1" applyFont="1" applyFill="1" applyBorder="1"/>
    <xf numFmtId="0" fontId="4" fillId="0" borderId="8" xfId="0" applyFont="1" applyFill="1" applyBorder="1"/>
    <xf numFmtId="3" fontId="4" fillId="0" borderId="8" xfId="0" applyNumberFormat="1" applyFont="1" applyFill="1" applyBorder="1"/>
    <xf numFmtId="0" fontId="5" fillId="0" borderId="6" xfId="0" applyFont="1" applyFill="1" applyBorder="1"/>
    <xf numFmtId="3" fontId="5" fillId="0" borderId="6" xfId="0" applyNumberFormat="1" applyFont="1" applyFill="1" applyBorder="1"/>
    <xf numFmtId="0" fontId="5" fillId="0" borderId="7" xfId="0" applyFont="1" applyFill="1" applyBorder="1"/>
    <xf numFmtId="3" fontId="5" fillId="0" borderId="7" xfId="0" applyNumberFormat="1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2" xfId="0" applyFont="1" applyFill="1" applyBorder="1"/>
    <xf numFmtId="3" fontId="4" fillId="0" borderId="12" xfId="0" applyNumberFormat="1" applyFont="1" applyFill="1" applyBorder="1"/>
    <xf numFmtId="0" fontId="9" fillId="0" borderId="0" xfId="0" applyFont="1" applyFill="1"/>
    <xf numFmtId="0" fontId="11" fillId="0" borderId="0" xfId="0" applyFont="1" applyFill="1"/>
    <xf numFmtId="0" fontId="13" fillId="0" borderId="0" xfId="0" applyFont="1" applyFill="1"/>
    <xf numFmtId="3" fontId="4" fillId="0" borderId="13" xfId="0" applyNumberFormat="1" applyFont="1" applyFill="1" applyBorder="1"/>
    <xf numFmtId="0" fontId="4" fillId="0" borderId="13" xfId="0" applyFont="1" applyFill="1" applyBorder="1"/>
    <xf numFmtId="3" fontId="8" fillId="2" borderId="1" xfId="0" applyNumberFormat="1" applyFont="1" applyFill="1" applyBorder="1"/>
    <xf numFmtId="3" fontId="0" fillId="0" borderId="0" xfId="0" applyNumberFormat="1"/>
    <xf numFmtId="0" fontId="2" fillId="0" borderId="14" xfId="0" applyFont="1" applyBorder="1"/>
    <xf numFmtId="0" fontId="9" fillId="0" borderId="0" xfId="0" applyFont="1"/>
    <xf numFmtId="0" fontId="10" fillId="0" borderId="15" xfId="0" applyFont="1" applyBorder="1"/>
    <xf numFmtId="0" fontId="10" fillId="0" borderId="1" xfId="0" applyFont="1" applyBorder="1"/>
    <xf numFmtId="0" fontId="15" fillId="0" borderId="0" xfId="0" applyFont="1"/>
    <xf numFmtId="0" fontId="4" fillId="0" borderId="16" xfId="0" applyFont="1" applyBorder="1"/>
    <xf numFmtId="3" fontId="4" fillId="0" borderId="6" xfId="0" applyNumberFormat="1" applyFont="1" applyBorder="1"/>
    <xf numFmtId="0" fontId="4" fillId="0" borderId="17" xfId="0" applyFont="1" applyBorder="1"/>
    <xf numFmtId="3" fontId="4" fillId="0" borderId="7" xfId="0" applyNumberFormat="1" applyFont="1" applyBorder="1"/>
    <xf numFmtId="0" fontId="4" fillId="0" borderId="18" xfId="0" applyFont="1" applyBorder="1"/>
    <xf numFmtId="0" fontId="11" fillId="0" borderId="0" xfId="0" applyFont="1"/>
    <xf numFmtId="0" fontId="13" fillId="0" borderId="0" xfId="0" applyFont="1"/>
    <xf numFmtId="3" fontId="15" fillId="0" borderId="0" xfId="0" applyNumberFormat="1" applyFont="1"/>
    <xf numFmtId="0" fontId="10" fillId="0" borderId="3" xfId="0" applyFont="1" applyBorder="1"/>
    <xf numFmtId="3" fontId="4" fillId="0" borderId="13" xfId="0" applyNumberFormat="1" applyFont="1" applyBorder="1"/>
    <xf numFmtId="3" fontId="10" fillId="0" borderId="1" xfId="0" applyNumberFormat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16" xfId="0" applyFont="1" applyBorder="1"/>
    <xf numFmtId="0" fontId="18" fillId="0" borderId="0" xfId="0" applyFont="1"/>
    <xf numFmtId="0" fontId="5" fillId="0" borderId="19" xfId="0" applyFont="1" applyBorder="1"/>
    <xf numFmtId="0" fontId="4" fillId="0" borderId="13" xfId="0" applyFont="1" applyBorder="1"/>
    <xf numFmtId="3" fontId="16" fillId="2" borderId="1" xfId="0" applyNumberFormat="1" applyFont="1" applyFill="1" applyBorder="1"/>
    <xf numFmtId="49" fontId="2" fillId="0" borderId="20" xfId="0" applyNumberFormat="1" applyFont="1" applyBorder="1" applyAlignment="1"/>
    <xf numFmtId="49" fontId="2" fillId="0" borderId="2" xfId="0" applyNumberFormat="1" applyFont="1" applyBorder="1" applyAlignment="1"/>
    <xf numFmtId="49" fontId="2" fillId="0" borderId="3" xfId="0" applyNumberFormat="1" applyFont="1" applyBorder="1" applyAlignment="1"/>
    <xf numFmtId="0" fontId="4" fillId="0" borderId="12" xfId="0" applyFont="1" applyBorder="1"/>
    <xf numFmtId="3" fontId="8" fillId="2" borderId="3" xfId="0" applyNumberFormat="1" applyFont="1" applyFill="1" applyBorder="1"/>
    <xf numFmtId="49" fontId="8" fillId="2" borderId="21" xfId="0" applyNumberFormat="1" applyFont="1" applyFill="1" applyBorder="1"/>
    <xf numFmtId="49" fontId="2" fillId="0" borderId="22" xfId="0" applyNumberFormat="1" applyFont="1" applyFill="1" applyBorder="1"/>
    <xf numFmtId="0" fontId="4" fillId="0" borderId="23" xfId="0" applyFont="1" applyFill="1" applyBorder="1"/>
    <xf numFmtId="14" fontId="8" fillId="2" borderId="21" xfId="0" applyNumberFormat="1" applyFont="1" applyFill="1" applyBorder="1"/>
    <xf numFmtId="0" fontId="4" fillId="0" borderId="22" xfId="0" applyFont="1" applyFill="1" applyBorder="1"/>
    <xf numFmtId="0" fontId="4" fillId="0" borderId="21" xfId="0" applyFont="1" applyFill="1" applyBorder="1"/>
    <xf numFmtId="49" fontId="8" fillId="2" borderId="24" xfId="0" applyNumberFormat="1" applyFont="1" applyFill="1" applyBorder="1"/>
    <xf numFmtId="0" fontId="12" fillId="3" borderId="25" xfId="0" applyFont="1" applyFill="1" applyBorder="1"/>
    <xf numFmtId="3" fontId="12" fillId="3" borderId="25" xfId="0" applyNumberFormat="1" applyFont="1" applyFill="1" applyBorder="1"/>
    <xf numFmtId="0" fontId="4" fillId="0" borderId="26" xfId="0" applyFont="1" applyFill="1" applyBorder="1"/>
    <xf numFmtId="0" fontId="4" fillId="0" borderId="20" xfId="0" applyFont="1" applyBorder="1" applyAlignment="1">
      <alignment horizontal="center"/>
    </xf>
    <xf numFmtId="0" fontId="5" fillId="0" borderId="13" xfId="0" applyFont="1" applyFill="1" applyBorder="1"/>
    <xf numFmtId="3" fontId="5" fillId="0" borderId="13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4" fillId="0" borderId="27" xfId="0" applyFont="1" applyBorder="1"/>
    <xf numFmtId="0" fontId="0" fillId="0" borderId="0" xfId="0" applyAlignment="1">
      <alignment horizontal="center"/>
    </xf>
    <xf numFmtId="49" fontId="8" fillId="2" borderId="24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7" xfId="0" applyFont="1" applyBorder="1" applyAlignment="1"/>
    <xf numFmtId="0" fontId="4" fillId="0" borderId="17" xfId="0" applyFont="1" applyBorder="1" applyAlignment="1"/>
    <xf numFmtId="49" fontId="2" fillId="0" borderId="22" xfId="0" applyNumberFormat="1" applyFont="1" applyBorder="1" applyAlignment="1"/>
    <xf numFmtId="49" fontId="2" fillId="0" borderId="24" xfId="0" applyNumberFormat="1" applyFont="1" applyBorder="1" applyAlignment="1"/>
    <xf numFmtId="49" fontId="8" fillId="2" borderId="21" xfId="0" applyNumberFormat="1" applyFont="1" applyFill="1" applyBorder="1" applyAlignment="1"/>
    <xf numFmtId="0" fontId="2" fillId="0" borderId="28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2" xfId="0" applyBorder="1"/>
    <xf numFmtId="49" fontId="2" fillId="0" borderId="24" xfId="0" applyNumberFormat="1" applyFont="1" applyBorder="1"/>
    <xf numFmtId="49" fontId="8" fillId="2" borderId="29" xfId="0" applyNumberFormat="1" applyFont="1" applyFill="1" applyBorder="1" applyAlignment="1">
      <alignment vertical="center" wrapText="1"/>
    </xf>
    <xf numFmtId="3" fontId="8" fillId="2" borderId="30" xfId="0" applyNumberFormat="1" applyFont="1" applyFill="1" applyBorder="1" applyAlignment="1">
      <alignment vertical="center" wrapText="1"/>
    </xf>
    <xf numFmtId="3" fontId="10" fillId="0" borderId="8" xfId="0" applyNumberFormat="1" applyFont="1" applyFill="1" applyBorder="1"/>
    <xf numFmtId="3" fontId="8" fillId="2" borderId="2" xfId="0" applyNumberFormat="1" applyFont="1" applyFill="1" applyBorder="1"/>
    <xf numFmtId="3" fontId="12" fillId="3" borderId="20" xfId="0" applyNumberFormat="1" applyFont="1" applyFill="1" applyBorder="1"/>
    <xf numFmtId="3" fontId="8" fillId="2" borderId="20" xfId="0" applyNumberFormat="1" applyFont="1" applyFill="1" applyBorder="1"/>
    <xf numFmtId="3" fontId="16" fillId="2" borderId="3" xfId="0" applyNumberFormat="1" applyFont="1" applyFill="1" applyBorder="1"/>
    <xf numFmtId="3" fontId="5" fillId="0" borderId="3" xfId="0" applyNumberFormat="1" applyFont="1" applyFill="1" applyBorder="1"/>
    <xf numFmtId="0" fontId="12" fillId="3" borderId="21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4" fillId="0" borderId="3" xfId="0" applyFont="1" applyFill="1" applyBorder="1"/>
    <xf numFmtId="3" fontId="12" fillId="3" borderId="3" xfId="0" applyNumberFormat="1" applyFont="1" applyFill="1" applyBorder="1" applyAlignment="1">
      <alignment horizontal="right"/>
    </xf>
    <xf numFmtId="49" fontId="8" fillId="2" borderId="24" xfId="0" applyNumberFormat="1" applyFont="1" applyFill="1" applyBorder="1" applyAlignment="1"/>
    <xf numFmtId="0" fontId="2" fillId="0" borderId="13" xfId="0" applyFont="1" applyBorder="1" applyAlignment="1"/>
    <xf numFmtId="0" fontId="4" fillId="0" borderId="19" xfId="0" applyFont="1" applyBorder="1" applyAlignment="1"/>
    <xf numFmtId="0" fontId="15" fillId="0" borderId="0" xfId="0" applyFont="1" applyFill="1"/>
    <xf numFmtId="3" fontId="0" fillId="0" borderId="3" xfId="0" applyNumberFormat="1" applyBorder="1"/>
    <xf numFmtId="3" fontId="0" fillId="0" borderId="7" xfId="0" applyNumberFormat="1" applyBorder="1"/>
    <xf numFmtId="3" fontId="0" fillId="0" borderId="12" xfId="0" applyNumberFormat="1" applyBorder="1"/>
    <xf numFmtId="0" fontId="20" fillId="0" borderId="7" xfId="0" applyFont="1" applyBorder="1"/>
    <xf numFmtId="0" fontId="20" fillId="0" borderId="0" xfId="0" applyFont="1"/>
    <xf numFmtId="0" fontId="21" fillId="0" borderId="7" xfId="0" applyFont="1" applyBorder="1"/>
    <xf numFmtId="49" fontId="2" fillId="0" borderId="33" xfId="0" applyNumberFormat="1" applyFont="1" applyBorder="1" applyAlignment="1"/>
    <xf numFmtId="3" fontId="2" fillId="3" borderId="25" xfId="0" applyNumberFormat="1" applyFont="1" applyFill="1" applyBorder="1"/>
    <xf numFmtId="0" fontId="5" fillId="0" borderId="3" xfId="0" applyFont="1" applyBorder="1"/>
    <xf numFmtId="0" fontId="2" fillId="0" borderId="22" xfId="0" applyFont="1" applyBorder="1" applyAlignment="1">
      <alignment horizontal="center"/>
    </xf>
    <xf numFmtId="3" fontId="2" fillId="0" borderId="3" xfId="0" applyNumberFormat="1" applyFont="1" applyBorder="1"/>
    <xf numFmtId="0" fontId="0" fillId="0" borderId="13" xfId="0" applyBorder="1"/>
    <xf numFmtId="49" fontId="5" fillId="0" borderId="9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left"/>
    </xf>
    <xf numFmtId="49" fontId="4" fillId="0" borderId="8" xfId="0" applyNumberFormat="1" applyFont="1" applyFill="1" applyBorder="1"/>
    <xf numFmtId="0" fontId="8" fillId="0" borderId="24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4" fillId="0" borderId="34" xfId="0" applyFont="1" applyBorder="1"/>
    <xf numFmtId="0" fontId="4" fillId="0" borderId="3" xfId="0" applyFont="1" applyBorder="1"/>
    <xf numFmtId="49" fontId="16" fillId="2" borderId="21" xfId="0" applyNumberFormat="1" applyFont="1" applyFill="1" applyBorder="1" applyAlignment="1"/>
    <xf numFmtId="3" fontId="15" fillId="0" borderId="7" xfId="0" applyNumberFormat="1" applyFont="1" applyBorder="1"/>
    <xf numFmtId="0" fontId="0" fillId="0" borderId="35" xfId="0" applyBorder="1"/>
    <xf numFmtId="0" fontId="0" fillId="0" borderId="36" xfId="0" applyBorder="1"/>
    <xf numFmtId="0" fontId="18" fillId="2" borderId="37" xfId="0" applyFont="1" applyFill="1" applyBorder="1"/>
    <xf numFmtId="3" fontId="18" fillId="2" borderId="25" xfId="0" applyNumberFormat="1" applyFont="1" applyFill="1" applyBorder="1"/>
    <xf numFmtId="3" fontId="18" fillId="2" borderId="38" xfId="0" applyNumberFormat="1" applyFont="1" applyFill="1" applyBorder="1"/>
    <xf numFmtId="3" fontId="11" fillId="0" borderId="39" xfId="0" applyNumberFormat="1" applyFont="1" applyBorder="1" applyAlignment="1">
      <alignment vertical="center"/>
    </xf>
    <xf numFmtId="3" fontId="6" fillId="0" borderId="0" xfId="0" applyNumberFormat="1" applyFont="1" applyFill="1" applyAlignment="1"/>
    <xf numFmtId="0" fontId="5" fillId="0" borderId="26" xfId="0" applyFont="1" applyFill="1" applyBorder="1" applyAlignment="1">
      <alignment horizontal="left"/>
    </xf>
    <xf numFmtId="0" fontId="4" fillId="0" borderId="40" xfId="0" applyFont="1" applyBorder="1"/>
    <xf numFmtId="0" fontId="5" fillId="0" borderId="1" xfId="0" applyFont="1" applyBorder="1"/>
    <xf numFmtId="0" fontId="10" fillId="0" borderId="41" xfId="0" applyFont="1" applyBorder="1"/>
    <xf numFmtId="0" fontId="5" fillId="0" borderId="42" xfId="0" applyFont="1" applyBorder="1"/>
    <xf numFmtId="0" fontId="5" fillId="0" borderId="7" xfId="0" applyFont="1" applyBorder="1"/>
    <xf numFmtId="0" fontId="5" fillId="0" borderId="8" xfId="0" applyFont="1" applyBorder="1"/>
    <xf numFmtId="0" fontId="10" fillId="0" borderId="43" xfId="0" applyFont="1" applyBorder="1"/>
    <xf numFmtId="0" fontId="4" fillId="0" borderId="44" xfId="0" applyFont="1" applyFill="1" applyBorder="1"/>
    <xf numFmtId="3" fontId="2" fillId="0" borderId="14" xfId="0" applyNumberFormat="1" applyFont="1" applyBorder="1"/>
    <xf numFmtId="3" fontId="4" fillId="0" borderId="19" xfId="0" applyNumberFormat="1" applyFont="1" applyBorder="1"/>
    <xf numFmtId="3" fontId="4" fillId="0" borderId="18" xfId="0" applyNumberFormat="1" applyFont="1" applyBorder="1"/>
    <xf numFmtId="3" fontId="4" fillId="0" borderId="40" xfId="0" applyNumberFormat="1" applyFont="1" applyBorder="1"/>
    <xf numFmtId="3" fontId="5" fillId="0" borderId="19" xfId="0" applyNumberFormat="1" applyFont="1" applyBorder="1"/>
    <xf numFmtId="0" fontId="5" fillId="0" borderId="2" xfId="0" applyFont="1" applyFill="1" applyBorder="1"/>
    <xf numFmtId="0" fontId="8" fillId="2" borderId="2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 wrapText="1"/>
    </xf>
    <xf numFmtId="3" fontId="5" fillId="0" borderId="17" xfId="0" applyNumberFormat="1" applyFont="1" applyBorder="1"/>
    <xf numFmtId="3" fontId="5" fillId="0" borderId="16" xfId="0" applyNumberFormat="1" applyFont="1" applyFill="1" applyBorder="1"/>
    <xf numFmtId="3" fontId="8" fillId="2" borderId="14" xfId="0" applyNumberFormat="1" applyFont="1" applyFill="1" applyBorder="1"/>
    <xf numFmtId="3" fontId="4" fillId="0" borderId="16" xfId="0" applyNumberFormat="1" applyFont="1" applyFill="1" applyBorder="1"/>
    <xf numFmtId="3" fontId="4" fillId="0" borderId="17" xfId="0" applyNumberFormat="1" applyFont="1" applyFill="1" applyBorder="1"/>
    <xf numFmtId="3" fontId="4" fillId="0" borderId="14" xfId="0" applyNumberFormat="1" applyFont="1" applyFill="1" applyBorder="1"/>
    <xf numFmtId="3" fontId="4" fillId="0" borderId="34" xfId="0" applyNumberFormat="1" applyFont="1" applyFill="1" applyBorder="1"/>
    <xf numFmtId="3" fontId="5" fillId="0" borderId="19" xfId="0" applyNumberFormat="1" applyFont="1" applyFill="1" applyBorder="1"/>
    <xf numFmtId="3" fontId="5" fillId="0" borderId="17" xfId="0" applyNumberFormat="1" applyFont="1" applyFill="1" applyBorder="1"/>
    <xf numFmtId="3" fontId="8" fillId="2" borderId="45" xfId="0" applyNumberFormat="1" applyFont="1" applyFill="1" applyBorder="1"/>
    <xf numFmtId="3" fontId="4" fillId="0" borderId="18" xfId="0" applyNumberFormat="1" applyFont="1" applyFill="1" applyBorder="1"/>
    <xf numFmtId="3" fontId="4" fillId="0" borderId="19" xfId="0" applyNumberFormat="1" applyFont="1" applyFill="1" applyBorder="1"/>
    <xf numFmtId="3" fontId="12" fillId="3" borderId="46" xfId="0" applyNumberFormat="1" applyFont="1" applyFill="1" applyBorder="1"/>
    <xf numFmtId="3" fontId="4" fillId="0" borderId="16" xfId="0" applyNumberFormat="1" applyFont="1" applyBorder="1"/>
    <xf numFmtId="3" fontId="4" fillId="0" borderId="17" xfId="0" applyNumberFormat="1" applyFont="1" applyBorder="1"/>
    <xf numFmtId="3" fontId="4" fillId="0" borderId="34" xfId="0" applyNumberFormat="1" applyFont="1" applyBorder="1"/>
    <xf numFmtId="0" fontId="15" fillId="0" borderId="13" xfId="0" applyFont="1" applyBorder="1"/>
    <xf numFmtId="0" fontId="15" fillId="0" borderId="7" xfId="0" applyFont="1" applyBorder="1"/>
    <xf numFmtId="3" fontId="4" fillId="0" borderId="8" xfId="0" applyNumberFormat="1" applyFont="1" applyBorder="1" applyAlignment="1">
      <alignment horizontal="right"/>
    </xf>
    <xf numFmtId="0" fontId="5" fillId="0" borderId="11" xfId="0" applyFont="1" applyFill="1" applyBorder="1"/>
    <xf numFmtId="3" fontId="3" fillId="0" borderId="1" xfId="0" applyNumberFormat="1" applyFont="1" applyFill="1" applyBorder="1" applyAlignment="1">
      <alignment vertical="center" wrapText="1"/>
    </xf>
    <xf numFmtId="0" fontId="5" fillId="0" borderId="6" xfId="0" applyFont="1" applyBorder="1"/>
    <xf numFmtId="0" fontId="4" fillId="0" borderId="22" xfId="0" applyFont="1" applyFill="1" applyBorder="1" applyAlignment="1">
      <alignment horizontal="center"/>
    </xf>
    <xf numFmtId="0" fontId="5" fillId="0" borderId="13" xfId="0" applyFont="1" applyBorder="1"/>
    <xf numFmtId="0" fontId="4" fillId="0" borderId="19" xfId="0" applyFont="1" applyBorder="1"/>
    <xf numFmtId="3" fontId="4" fillId="0" borderId="13" xfId="0" applyNumberFormat="1" applyFont="1" applyBorder="1" applyAlignment="1">
      <alignment horizontal="right"/>
    </xf>
    <xf numFmtId="3" fontId="15" fillId="0" borderId="6" xfId="0" applyNumberFormat="1" applyFont="1" applyBorder="1" applyAlignment="1">
      <alignment horizontal="right"/>
    </xf>
    <xf numFmtId="3" fontId="15" fillId="0" borderId="7" xfId="0" applyNumberFormat="1" applyFont="1" applyBorder="1" applyAlignment="1">
      <alignment horizontal="right"/>
    </xf>
    <xf numFmtId="3" fontId="4" fillId="0" borderId="40" xfId="0" applyNumberFormat="1" applyFont="1" applyFill="1" applyBorder="1"/>
    <xf numFmtId="0" fontId="4" fillId="0" borderId="41" xfId="0" applyFont="1" applyFill="1" applyBorder="1"/>
    <xf numFmtId="4" fontId="2" fillId="0" borderId="47" xfId="0" applyNumberFormat="1" applyFont="1" applyBorder="1"/>
    <xf numFmtId="4" fontId="4" fillId="0" borderId="48" xfId="0" applyNumberFormat="1" applyFont="1" applyFill="1" applyBorder="1"/>
    <xf numFmtId="4" fontId="4" fillId="0" borderId="49" xfId="0" applyNumberFormat="1" applyFont="1" applyBorder="1"/>
    <xf numFmtId="4" fontId="4" fillId="0" borderId="48" xfId="0" applyNumberFormat="1" applyFont="1" applyBorder="1"/>
    <xf numFmtId="4" fontId="4" fillId="0" borderId="50" xfId="0" applyNumberFormat="1" applyFont="1" applyBorder="1"/>
    <xf numFmtId="0" fontId="0" fillId="0" borderId="0" xfId="0" applyAlignment="1"/>
    <xf numFmtId="3" fontId="15" fillId="0" borderId="6" xfId="0" applyNumberFormat="1" applyFont="1" applyFill="1" applyBorder="1" applyAlignment="1">
      <alignment vertical="center" wrapText="1"/>
    </xf>
    <xf numFmtId="3" fontId="0" fillId="0" borderId="0" xfId="0" applyNumberFormat="1" applyAlignment="1"/>
    <xf numFmtId="0" fontId="4" fillId="0" borderId="51" xfId="0" applyFont="1" applyBorder="1"/>
    <xf numFmtId="0" fontId="4" fillId="0" borderId="10" xfId="0" applyFont="1" applyBorder="1"/>
    <xf numFmtId="0" fontId="4" fillId="0" borderId="52" xfId="0" applyFont="1" applyBorder="1"/>
    <xf numFmtId="49" fontId="8" fillId="0" borderId="24" xfId="0" applyNumberFormat="1" applyFont="1" applyFill="1" applyBorder="1" applyAlignment="1">
      <alignment horizontal="center"/>
    </xf>
    <xf numFmtId="49" fontId="4" fillId="0" borderId="41" xfId="0" applyNumberFormat="1" applyFont="1" applyFill="1" applyBorder="1"/>
    <xf numFmtId="4" fontId="15" fillId="0" borderId="0" xfId="0" applyNumberFormat="1" applyFont="1"/>
    <xf numFmtId="3" fontId="6" fillId="0" borderId="0" xfId="0" applyNumberFormat="1" applyFont="1" applyAlignment="1"/>
    <xf numFmtId="3" fontId="15" fillId="0" borderId="0" xfId="0" applyNumberFormat="1" applyFont="1" applyFill="1"/>
    <xf numFmtId="3" fontId="15" fillId="0" borderId="2" xfId="0" applyNumberFormat="1" applyFont="1" applyFill="1" applyBorder="1"/>
    <xf numFmtId="3" fontId="15" fillId="0" borderId="7" xfId="0" applyNumberFormat="1" applyFont="1" applyFill="1" applyBorder="1"/>
    <xf numFmtId="0" fontId="15" fillId="0" borderId="0" xfId="0" applyFont="1" applyFill="1" applyAlignment="1">
      <alignment horizontal="center"/>
    </xf>
    <xf numFmtId="0" fontId="11" fillId="2" borderId="21" xfId="0" applyFont="1" applyFill="1" applyBorder="1"/>
    <xf numFmtId="16" fontId="8" fillId="2" borderId="24" xfId="0" applyNumberFormat="1" applyFont="1" applyFill="1" applyBorder="1"/>
    <xf numFmtId="3" fontId="10" fillId="0" borderId="1" xfId="0" applyNumberFormat="1" applyFont="1" applyFill="1" applyBorder="1"/>
    <xf numFmtId="3" fontId="5" fillId="0" borderId="1" xfId="0" applyNumberFormat="1" applyFont="1" applyFill="1" applyBorder="1"/>
    <xf numFmtId="49" fontId="2" fillId="2" borderId="21" xfId="0" applyNumberFormat="1" applyFont="1" applyFill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16" fontId="2" fillId="0" borderId="0" xfId="0" applyNumberFormat="1" applyFont="1" applyFill="1" applyBorder="1" applyAlignment="1">
      <alignment horizontal="left"/>
    </xf>
    <xf numFmtId="3" fontId="5" fillId="0" borderId="34" xfId="0" applyNumberFormat="1" applyFont="1" applyFill="1" applyBorder="1"/>
    <xf numFmtId="3" fontId="10" fillId="2" borderId="3" xfId="0" applyNumberFormat="1" applyFont="1" applyFill="1" applyBorder="1"/>
    <xf numFmtId="3" fontId="12" fillId="3" borderId="14" xfId="0" applyNumberFormat="1" applyFont="1" applyFill="1" applyBorder="1"/>
    <xf numFmtId="3" fontId="16" fillId="2" borderId="27" xfId="0" applyNumberFormat="1" applyFont="1" applyFill="1" applyBorder="1"/>
    <xf numFmtId="3" fontId="10" fillId="0" borderId="14" xfId="0" applyNumberFormat="1" applyFont="1" applyBorder="1"/>
    <xf numFmtId="16" fontId="2" fillId="0" borderId="0" xfId="0" applyNumberFormat="1" applyFont="1" applyBorder="1" applyAlignment="1">
      <alignment horizontal="left"/>
    </xf>
    <xf numFmtId="3" fontId="4" fillId="0" borderId="45" xfId="0" applyNumberFormat="1" applyFont="1" applyBorder="1"/>
    <xf numFmtId="3" fontId="0" fillId="0" borderId="53" xfId="0" applyNumberFormat="1" applyBorder="1"/>
    <xf numFmtId="0" fontId="11" fillId="0" borderId="54" xfId="0" applyFont="1" applyBorder="1" applyAlignment="1">
      <alignment vertical="center"/>
    </xf>
    <xf numFmtId="0" fontId="11" fillId="0" borderId="54" xfId="0" applyFont="1" applyBorder="1"/>
    <xf numFmtId="3" fontId="11" fillId="0" borderId="39" xfId="0" applyNumberFormat="1" applyFont="1" applyBorder="1"/>
    <xf numFmtId="0" fontId="5" fillId="0" borderId="55" xfId="0" applyFont="1" applyBorder="1"/>
    <xf numFmtId="0" fontId="12" fillId="3" borderId="56" xfId="0" applyFont="1" applyFill="1" applyBorder="1" applyAlignment="1">
      <alignment horizontal="center"/>
    </xf>
    <xf numFmtId="3" fontId="17" fillId="3" borderId="46" xfId="0" applyNumberFormat="1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5" fillId="0" borderId="44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5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26" xfId="0" applyNumberFormat="1" applyFont="1" applyFill="1" applyBorder="1" applyAlignment="1">
      <alignment horizontal="center"/>
    </xf>
    <xf numFmtId="0" fontId="5" fillId="0" borderId="41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4" fillId="0" borderId="59" xfId="0" applyFont="1" applyFill="1" applyBorder="1" applyAlignment="1">
      <alignment horizontal="center"/>
    </xf>
    <xf numFmtId="49" fontId="2" fillId="0" borderId="60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6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3" fontId="5" fillId="0" borderId="45" xfId="0" applyNumberFormat="1" applyFont="1" applyFill="1" applyBorder="1"/>
    <xf numFmtId="0" fontId="4" fillId="0" borderId="1" xfId="0" applyFont="1" applyBorder="1"/>
    <xf numFmtId="0" fontId="0" fillId="0" borderId="0" xfId="0" applyAlignment="1">
      <alignment horizontal="left"/>
    </xf>
    <xf numFmtId="3" fontId="5" fillId="0" borderId="18" xfId="0" applyNumberFormat="1" applyFont="1" applyFill="1" applyBorder="1"/>
    <xf numFmtId="3" fontId="4" fillId="0" borderId="45" xfId="0" applyNumberFormat="1" applyFont="1" applyFill="1" applyBorder="1"/>
    <xf numFmtId="3" fontId="15" fillId="0" borderId="17" xfId="0" applyNumberFormat="1" applyFont="1" applyFill="1" applyBorder="1" applyAlignment="1">
      <alignment vertical="center" wrapText="1"/>
    </xf>
    <xf numFmtId="3" fontId="4" fillId="0" borderId="14" xfId="0" applyNumberFormat="1" applyFont="1" applyBorder="1"/>
    <xf numFmtId="3" fontId="2" fillId="0" borderId="45" xfId="0" applyNumberFormat="1" applyFont="1" applyBorder="1"/>
    <xf numFmtId="3" fontId="5" fillId="0" borderId="45" xfId="0" applyNumberFormat="1" applyFont="1" applyBorder="1"/>
    <xf numFmtId="3" fontId="5" fillId="0" borderId="55" xfId="0" applyNumberFormat="1" applyFont="1" applyBorder="1"/>
    <xf numFmtId="0" fontId="4" fillId="0" borderId="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3" fontId="15" fillId="0" borderId="19" xfId="0" applyNumberFormat="1" applyFont="1" applyBorder="1"/>
    <xf numFmtId="0" fontId="8" fillId="2" borderId="1" xfId="0" applyFont="1" applyFill="1" applyBorder="1" applyAlignment="1">
      <alignment horizontal="right"/>
    </xf>
    <xf numFmtId="3" fontId="10" fillId="2" borderId="14" xfId="0" applyNumberFormat="1" applyFont="1" applyFill="1" applyBorder="1"/>
    <xf numFmtId="3" fontId="8" fillId="2" borderId="45" xfId="0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3" fontId="11" fillId="0" borderId="61" xfId="0" applyNumberFormat="1" applyFont="1" applyBorder="1" applyAlignment="1">
      <alignment vertical="center"/>
    </xf>
    <xf numFmtId="3" fontId="11" fillId="0" borderId="61" xfId="0" applyNumberFormat="1" applyFont="1" applyBorder="1"/>
    <xf numFmtId="0" fontId="23" fillId="0" borderId="0" xfId="0" applyFont="1"/>
    <xf numFmtId="0" fontId="3" fillId="0" borderId="0" xfId="0" applyFont="1"/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22" fillId="0" borderId="0" xfId="0" applyFont="1" applyFill="1"/>
    <xf numFmtId="49" fontId="2" fillId="0" borderId="62" xfId="0" applyNumberFormat="1" applyFont="1" applyFill="1" applyBorder="1" applyAlignment="1">
      <alignment horizontal="center"/>
    </xf>
    <xf numFmtId="0" fontId="2" fillId="0" borderId="13" xfId="0" applyFont="1" applyBorder="1"/>
    <xf numFmtId="0" fontId="4" fillId="0" borderId="16" xfId="0" applyFont="1" applyBorder="1" applyAlignment="1"/>
    <xf numFmtId="3" fontId="4" fillId="0" borderId="6" xfId="0" applyNumberFormat="1" applyFont="1" applyBorder="1" applyAlignment="1">
      <alignment horizontal="right"/>
    </xf>
    <xf numFmtId="0" fontId="15" fillId="0" borderId="2" xfId="0" applyFont="1" applyBorder="1"/>
    <xf numFmtId="3" fontId="4" fillId="0" borderId="0" xfId="0" applyNumberFormat="1" applyFont="1" applyFill="1" applyBorder="1"/>
    <xf numFmtId="0" fontId="8" fillId="2" borderId="14" xfId="0" applyFont="1" applyFill="1" applyBorder="1" applyAlignment="1">
      <alignment horizontal="left"/>
    </xf>
    <xf numFmtId="0" fontId="8" fillId="2" borderId="59" xfId="0" applyFont="1" applyFill="1" applyBorder="1" applyAlignment="1">
      <alignment horizontal="left"/>
    </xf>
    <xf numFmtId="0" fontId="8" fillId="2" borderId="63" xfId="0" applyFont="1" applyFill="1" applyBorder="1" applyAlignment="1">
      <alignment horizontal="left"/>
    </xf>
    <xf numFmtId="49" fontId="8" fillId="2" borderId="4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0" borderId="45" xfId="0" applyFont="1" applyBorder="1"/>
    <xf numFmtId="0" fontId="4" fillId="0" borderId="17" xfId="0" applyFont="1" applyFill="1" applyBorder="1"/>
    <xf numFmtId="0" fontId="4" fillId="0" borderId="64" xfId="0" applyFont="1" applyFill="1" applyBorder="1"/>
    <xf numFmtId="0" fontId="4" fillId="0" borderId="0" xfId="0" applyFont="1" applyFill="1" applyBorder="1"/>
    <xf numFmtId="0" fontId="4" fillId="0" borderId="40" xfId="0" applyFont="1" applyFill="1" applyBorder="1"/>
    <xf numFmtId="0" fontId="4" fillId="0" borderId="16" xfId="0" applyFont="1" applyFill="1" applyBorder="1"/>
    <xf numFmtId="0" fontId="4" fillId="0" borderId="63" xfId="0" applyFont="1" applyFill="1" applyBorder="1"/>
    <xf numFmtId="0" fontId="5" fillId="0" borderId="45" xfId="0" applyFont="1" applyFill="1" applyBorder="1"/>
    <xf numFmtId="0" fontId="4" fillId="0" borderId="34" xfId="0" applyFont="1" applyFill="1" applyBorder="1"/>
    <xf numFmtId="49" fontId="5" fillId="0" borderId="65" xfId="0" applyNumberFormat="1" applyFont="1" applyFill="1" applyBorder="1" applyAlignment="1">
      <alignment horizontal="left"/>
    </xf>
    <xf numFmtId="0" fontId="4" fillId="0" borderId="19" xfId="0" applyFont="1" applyFill="1" applyBorder="1"/>
    <xf numFmtId="0" fontId="4" fillId="0" borderId="14" xfId="0" applyFont="1" applyFill="1" applyBorder="1"/>
    <xf numFmtId="0" fontId="4" fillId="0" borderId="60" xfId="0" applyFont="1" applyFill="1" applyBorder="1"/>
    <xf numFmtId="0" fontId="4" fillId="0" borderId="65" xfId="0" applyFont="1" applyFill="1" applyBorder="1"/>
    <xf numFmtId="0" fontId="4" fillId="0" borderId="62" xfId="0" applyFont="1" applyFill="1" applyBorder="1"/>
    <xf numFmtId="0" fontId="4" fillId="0" borderId="18" xfId="0" applyFont="1" applyFill="1" applyBorder="1"/>
    <xf numFmtId="0" fontId="4" fillId="0" borderId="64" xfId="0" applyNumberFormat="1" applyFont="1" applyFill="1" applyBorder="1" applyAlignment="1">
      <alignment horizontal="right"/>
    </xf>
    <xf numFmtId="0" fontId="10" fillId="0" borderId="41" xfId="0" applyNumberFormat="1" applyFont="1" applyFill="1" applyBorder="1" applyAlignment="1">
      <alignment horizontal="left"/>
    </xf>
    <xf numFmtId="0" fontId="4" fillId="0" borderId="66" xfId="0" applyFont="1" applyFill="1" applyBorder="1"/>
    <xf numFmtId="3" fontId="15" fillId="0" borderId="40" xfId="0" applyNumberFormat="1" applyFont="1" applyFill="1" applyBorder="1" applyAlignment="1">
      <alignment vertical="center" wrapText="1"/>
    </xf>
    <xf numFmtId="3" fontId="15" fillId="0" borderId="18" xfId="0" applyNumberFormat="1" applyFont="1" applyFill="1" applyBorder="1" applyAlignment="1">
      <alignment vertical="center" wrapText="1"/>
    </xf>
    <xf numFmtId="3" fontId="4" fillId="0" borderId="65" xfId="0" applyNumberFormat="1" applyFont="1" applyFill="1" applyBorder="1"/>
    <xf numFmtId="0" fontId="9" fillId="0" borderId="0" xfId="0" applyFont="1" applyFill="1" applyAlignment="1"/>
    <xf numFmtId="0" fontId="15" fillId="0" borderId="40" xfId="0" applyFont="1" applyBorder="1"/>
    <xf numFmtId="0" fontId="4" fillId="0" borderId="67" xfId="0" applyFont="1" applyBorder="1"/>
    <xf numFmtId="0" fontId="4" fillId="0" borderId="65" xfId="0" applyFont="1" applyBorder="1"/>
    <xf numFmtId="0" fontId="4" fillId="0" borderId="0" xfId="0" applyFont="1" applyBorder="1"/>
    <xf numFmtId="0" fontId="15" fillId="0" borderId="19" xfId="0" applyFont="1" applyBorder="1"/>
    <xf numFmtId="0" fontId="15" fillId="0" borderId="0" xfId="0" applyFont="1" applyFill="1" applyAlignment="1"/>
    <xf numFmtId="3" fontId="5" fillId="0" borderId="14" xfId="0" applyNumberFormat="1" applyFont="1" applyBorder="1"/>
    <xf numFmtId="3" fontId="5" fillId="0" borderId="34" xfId="0" applyNumberFormat="1" applyFont="1" applyBorder="1"/>
    <xf numFmtId="0" fontId="5" fillId="0" borderId="40" xfId="0" applyFont="1" applyBorder="1"/>
    <xf numFmtId="3" fontId="5" fillId="0" borderId="7" xfId="0" applyNumberFormat="1" applyFont="1" applyBorder="1"/>
    <xf numFmtId="0" fontId="15" fillId="0" borderId="17" xfId="0" applyFont="1" applyBorder="1"/>
    <xf numFmtId="49" fontId="2" fillId="2" borderId="1" xfId="0" applyNumberFormat="1" applyFont="1" applyFill="1" applyBorder="1" applyAlignment="1">
      <alignment horizontal="left"/>
    </xf>
    <xf numFmtId="0" fontId="15" fillId="0" borderId="20" xfId="0" applyFont="1" applyBorder="1"/>
    <xf numFmtId="0" fontId="8" fillId="2" borderId="63" xfId="0" applyFont="1" applyFill="1" applyBorder="1" applyAlignment="1">
      <alignment horizontal="right"/>
    </xf>
    <xf numFmtId="3" fontId="0" fillId="0" borderId="6" xfId="0" applyNumberFormat="1" applyBorder="1"/>
    <xf numFmtId="3" fontId="15" fillId="0" borderId="13" xfId="0" applyNumberFormat="1" applyFont="1" applyBorder="1"/>
    <xf numFmtId="3" fontId="21" fillId="0" borderId="7" xfId="0" applyNumberFormat="1" applyFont="1" applyBorder="1"/>
    <xf numFmtId="3" fontId="23" fillId="0" borderId="0" xfId="0" applyNumberFormat="1" applyFont="1" applyAlignment="1">
      <alignment horizontal="center"/>
    </xf>
    <xf numFmtId="0" fontId="5" fillId="0" borderId="6" xfId="0" applyFont="1" applyFill="1" applyBorder="1" applyAlignment="1">
      <alignment horizontal="right"/>
    </xf>
    <xf numFmtId="0" fontId="5" fillId="0" borderId="1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49" fontId="5" fillId="0" borderId="6" xfId="0" applyNumberFormat="1" applyFont="1" applyFill="1" applyBorder="1" applyAlignment="1">
      <alignment horizontal="right"/>
    </xf>
    <xf numFmtId="49" fontId="4" fillId="0" borderId="7" xfId="0" applyNumberFormat="1" applyFont="1" applyFill="1" applyBorder="1" applyAlignment="1">
      <alignment horizontal="right"/>
    </xf>
    <xf numFmtId="49" fontId="4" fillId="0" borderId="8" xfId="0" applyNumberFormat="1" applyFont="1" applyFill="1" applyBorder="1" applyAlignment="1">
      <alignment horizontal="right"/>
    </xf>
    <xf numFmtId="0" fontId="24" fillId="0" borderId="0" xfId="0" applyFont="1" applyAlignment="1"/>
    <xf numFmtId="3" fontId="25" fillId="0" borderId="0" xfId="0" applyNumberFormat="1" applyFont="1" applyAlignment="1"/>
    <xf numFmtId="0" fontId="24" fillId="0" borderId="0" xfId="0" applyFont="1"/>
    <xf numFmtId="4" fontId="12" fillId="3" borderId="68" xfId="0" applyNumberFormat="1" applyFont="1" applyFill="1" applyBorder="1"/>
    <xf numFmtId="4" fontId="8" fillId="2" borderId="48" xfId="0" applyNumberFormat="1" applyFont="1" applyFill="1" applyBorder="1"/>
    <xf numFmtId="4" fontId="4" fillId="0" borderId="47" xfId="0" applyNumberFormat="1" applyFont="1" applyBorder="1"/>
    <xf numFmtId="4" fontId="16" fillId="2" borderId="47" xfId="0" applyNumberFormat="1" applyFont="1" applyFill="1" applyBorder="1"/>
    <xf numFmtId="4" fontId="2" fillId="0" borderId="69" xfId="0" applyNumberFormat="1" applyFont="1" applyBorder="1"/>
    <xf numFmtId="4" fontId="4" fillId="0" borderId="70" xfId="0" applyNumberFormat="1" applyFont="1" applyBorder="1"/>
    <xf numFmtId="4" fontId="10" fillId="0" borderId="47" xfId="0" applyNumberFormat="1" applyFont="1" applyBorder="1"/>
    <xf numFmtId="4" fontId="4" fillId="0" borderId="71" xfId="0" applyNumberFormat="1" applyFont="1" applyBorder="1"/>
    <xf numFmtId="4" fontId="12" fillId="3" borderId="72" xfId="0" applyNumberFormat="1" applyFont="1" applyFill="1" applyBorder="1"/>
    <xf numFmtId="4" fontId="8" fillId="2" borderId="72" xfId="0" applyNumberFormat="1" applyFont="1" applyFill="1" applyBorder="1"/>
    <xf numFmtId="4" fontId="8" fillId="2" borderId="47" xfId="0" applyNumberFormat="1" applyFont="1" applyFill="1" applyBorder="1"/>
    <xf numFmtId="4" fontId="4" fillId="0" borderId="69" xfId="0" applyNumberFormat="1" applyFont="1" applyBorder="1"/>
    <xf numFmtId="4" fontId="8" fillId="2" borderId="69" xfId="0" applyNumberFormat="1" applyFont="1" applyFill="1" applyBorder="1"/>
    <xf numFmtId="4" fontId="5" fillId="0" borderId="69" xfId="0" applyNumberFormat="1" applyFont="1" applyBorder="1"/>
    <xf numFmtId="4" fontId="16" fillId="2" borderId="69" xfId="0" applyNumberFormat="1" applyFont="1" applyFill="1" applyBorder="1"/>
    <xf numFmtId="4" fontId="5" fillId="0" borderId="73" xfId="0" applyNumberFormat="1" applyFont="1" applyBorder="1"/>
    <xf numFmtId="4" fontId="17" fillId="3" borderId="68" xfId="0" applyNumberFormat="1" applyFont="1" applyFill="1" applyBorder="1"/>
    <xf numFmtId="4" fontId="4" fillId="0" borderId="74" xfId="0" applyNumberFormat="1" applyFont="1" applyBorder="1"/>
    <xf numFmtId="4" fontId="15" fillId="0" borderId="50" xfId="0" applyNumberFormat="1" applyFont="1" applyFill="1" applyBorder="1"/>
    <xf numFmtId="4" fontId="12" fillId="3" borderId="38" xfId="0" applyNumberFormat="1" applyFont="1" applyFill="1" applyBorder="1"/>
    <xf numFmtId="4" fontId="0" fillId="0" borderId="75" xfId="0" applyNumberFormat="1" applyBorder="1"/>
    <xf numFmtId="4" fontId="2" fillId="0" borderId="76" xfId="0" applyNumberFormat="1" applyFont="1" applyBorder="1"/>
    <xf numFmtId="4" fontId="4" fillId="0" borderId="77" xfId="0" applyNumberFormat="1" applyFont="1" applyBorder="1"/>
    <xf numFmtId="4" fontId="4" fillId="0" borderId="78" xfId="0" applyNumberFormat="1" applyFont="1" applyBorder="1"/>
    <xf numFmtId="4" fontId="4" fillId="0" borderId="79" xfId="0" applyNumberFormat="1" applyFont="1" applyBorder="1"/>
    <xf numFmtId="4" fontId="4" fillId="0" borderId="80" xfId="0" applyNumberFormat="1" applyFont="1" applyBorder="1"/>
    <xf numFmtId="4" fontId="2" fillId="3" borderId="38" xfId="0" applyNumberFormat="1" applyFont="1" applyFill="1" applyBorder="1"/>
    <xf numFmtId="4" fontId="0" fillId="0" borderId="68" xfId="0" applyNumberFormat="1" applyBorder="1"/>
    <xf numFmtId="4" fontId="15" fillId="0" borderId="74" xfId="0" applyNumberFormat="1" applyFont="1" applyBorder="1"/>
    <xf numFmtId="4" fontId="15" fillId="0" borderId="50" xfId="0" applyNumberFormat="1" applyFont="1" applyBorder="1"/>
    <xf numFmtId="4" fontId="15" fillId="0" borderId="50" xfId="0" applyNumberFormat="1" applyFont="1" applyBorder="1" applyAlignment="1">
      <alignment horizontal="right"/>
    </xf>
    <xf numFmtId="4" fontId="0" fillId="0" borderId="50" xfId="0" applyNumberFormat="1" applyBorder="1"/>
    <xf numFmtId="4" fontId="0" fillId="0" borderId="70" xfId="0" applyNumberFormat="1" applyBorder="1"/>
    <xf numFmtId="4" fontId="8" fillId="2" borderId="1" xfId="0" applyNumberFormat="1" applyFont="1" applyFill="1" applyBorder="1"/>
    <xf numFmtId="4" fontId="12" fillId="3" borderId="69" xfId="0" applyNumberFormat="1" applyFont="1" applyFill="1" applyBorder="1" applyAlignment="1">
      <alignment horizontal="right"/>
    </xf>
    <xf numFmtId="4" fontId="15" fillId="0" borderId="49" xfId="0" applyNumberFormat="1" applyFont="1" applyBorder="1"/>
    <xf numFmtId="4" fontId="12" fillId="3" borderId="47" xfId="0" applyNumberFormat="1" applyFont="1" applyFill="1" applyBorder="1"/>
    <xf numFmtId="4" fontId="16" fillId="2" borderId="72" xfId="0" applyNumberFormat="1" applyFont="1" applyFill="1" applyBorder="1"/>
    <xf numFmtId="4" fontId="8" fillId="2" borderId="47" xfId="0" applyNumberFormat="1" applyFont="1" applyFill="1" applyBorder="1" applyAlignment="1">
      <alignment horizontal="right"/>
    </xf>
    <xf numFmtId="4" fontId="8" fillId="2" borderId="81" xfId="0" applyNumberFormat="1" applyFont="1" applyFill="1" applyBorder="1" applyAlignment="1">
      <alignment vertical="center" wrapText="1"/>
    </xf>
    <xf numFmtId="4" fontId="4" fillId="0" borderId="74" xfId="0" applyNumberFormat="1" applyFont="1" applyFill="1" applyBorder="1"/>
    <xf numFmtId="4" fontId="4" fillId="0" borderId="50" xfId="0" applyNumberFormat="1" applyFont="1" applyFill="1" applyBorder="1"/>
    <xf numFmtId="4" fontId="4" fillId="0" borderId="71" xfId="0" applyNumberFormat="1" applyFont="1" applyFill="1" applyBorder="1"/>
    <xf numFmtId="4" fontId="5" fillId="0" borderId="74" xfId="0" applyNumberFormat="1" applyFont="1" applyFill="1" applyBorder="1"/>
    <xf numFmtId="4" fontId="5" fillId="0" borderId="50" xfId="0" applyNumberFormat="1" applyFont="1" applyFill="1" applyBorder="1"/>
    <xf numFmtId="4" fontId="5" fillId="0" borderId="70" xfId="0" applyNumberFormat="1" applyFont="1" applyFill="1" applyBorder="1"/>
    <xf numFmtId="4" fontId="4" fillId="0" borderId="47" xfId="0" applyNumberFormat="1" applyFont="1" applyFill="1" applyBorder="1"/>
    <xf numFmtId="4" fontId="5" fillId="0" borderId="49" xfId="0" applyNumberFormat="1" applyFont="1" applyFill="1" applyBorder="1"/>
    <xf numFmtId="4" fontId="5" fillId="0" borderId="69" xfId="0" applyNumberFormat="1" applyFont="1" applyFill="1" applyBorder="1"/>
    <xf numFmtId="4" fontId="5" fillId="0" borderId="47" xfId="0" applyNumberFormat="1" applyFont="1" applyFill="1" applyBorder="1"/>
    <xf numFmtId="4" fontId="5" fillId="0" borderId="71" xfId="0" applyNumberFormat="1" applyFont="1" applyFill="1" applyBorder="1"/>
    <xf numFmtId="4" fontId="5" fillId="0" borderId="79" xfId="0" applyNumberFormat="1" applyFont="1" applyFill="1" applyBorder="1"/>
    <xf numFmtId="4" fontId="5" fillId="0" borderId="80" xfId="0" applyNumberFormat="1" applyFont="1" applyFill="1" applyBorder="1"/>
    <xf numFmtId="4" fontId="15" fillId="0" borderId="80" xfId="0" applyNumberFormat="1" applyFont="1" applyFill="1" applyBorder="1"/>
    <xf numFmtId="4" fontId="15" fillId="0" borderId="78" xfId="0" applyNumberFormat="1" applyFont="1" applyFill="1" applyBorder="1"/>
    <xf numFmtId="4" fontId="4" fillId="0" borderId="70" xfId="0" applyNumberFormat="1" applyFont="1" applyFill="1" applyBorder="1"/>
    <xf numFmtId="4" fontId="10" fillId="2" borderId="69" xfId="0" applyNumberFormat="1" applyFont="1" applyFill="1" applyBorder="1"/>
    <xf numFmtId="4" fontId="4" fillId="0" borderId="49" xfId="0" applyNumberFormat="1" applyFont="1" applyFill="1" applyBorder="1"/>
    <xf numFmtId="4" fontId="2" fillId="0" borderId="47" xfId="0" applyNumberFormat="1" applyFont="1" applyFill="1" applyBorder="1"/>
    <xf numFmtId="4" fontId="15" fillId="0" borderId="48" xfId="0" applyNumberFormat="1" applyFont="1" applyFill="1" applyBorder="1"/>
    <xf numFmtId="4" fontId="10" fillId="0" borderId="47" xfId="0" applyNumberFormat="1" applyFont="1" applyFill="1" applyBorder="1"/>
    <xf numFmtId="4" fontId="4" fillId="0" borderId="69" xfId="0" applyNumberFormat="1" applyFont="1" applyFill="1" applyBorder="1"/>
    <xf numFmtId="4" fontId="10" fillId="0" borderId="71" xfId="0" applyNumberFormat="1" applyFont="1" applyFill="1" applyBorder="1"/>
    <xf numFmtId="4" fontId="11" fillId="2" borderId="47" xfId="0" applyNumberFormat="1" applyFont="1" applyFill="1" applyBorder="1" applyAlignment="1">
      <alignment vertical="center" wrapText="1"/>
    </xf>
    <xf numFmtId="4" fontId="3" fillId="0" borderId="47" xfId="0" applyNumberFormat="1" applyFont="1" applyFill="1" applyBorder="1" applyAlignment="1">
      <alignment vertical="center" wrapText="1"/>
    </xf>
    <xf numFmtId="4" fontId="15" fillId="0" borderId="74" xfId="0" applyNumberFormat="1" applyFont="1" applyFill="1" applyBorder="1" applyAlignment="1">
      <alignment vertical="center" wrapText="1"/>
    </xf>
    <xf numFmtId="4" fontId="15" fillId="0" borderId="50" xfId="0" applyNumberFormat="1" applyFont="1" applyFill="1" applyBorder="1" applyAlignment="1">
      <alignment vertical="center" wrapText="1"/>
    </xf>
    <xf numFmtId="4" fontId="15" fillId="0" borderId="48" xfId="0" applyNumberFormat="1" applyFont="1" applyFill="1" applyBorder="1" applyAlignment="1">
      <alignment vertical="center" wrapText="1"/>
    </xf>
    <xf numFmtId="4" fontId="15" fillId="0" borderId="71" xfId="0" applyNumberFormat="1" applyFont="1" applyFill="1" applyBorder="1" applyAlignment="1">
      <alignment vertical="center" wrapText="1"/>
    </xf>
    <xf numFmtId="0" fontId="2" fillId="0" borderId="67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12" fillId="3" borderId="82" xfId="0" applyFont="1" applyFill="1" applyBorder="1" applyAlignment="1">
      <alignment horizontal="center"/>
    </xf>
    <xf numFmtId="0" fontId="12" fillId="3" borderId="24" xfId="0" applyFont="1" applyFill="1" applyBorder="1"/>
    <xf numFmtId="0" fontId="8" fillId="2" borderId="21" xfId="0" applyFont="1" applyFill="1" applyBorder="1"/>
    <xf numFmtId="0" fontId="8" fillId="0" borderId="22" xfId="0" applyFont="1" applyBorder="1" applyAlignment="1">
      <alignment horizontal="center"/>
    </xf>
    <xf numFmtId="0" fontId="12" fillId="3" borderId="37" xfId="0" applyFont="1" applyFill="1" applyBorder="1"/>
    <xf numFmtId="0" fontId="4" fillId="0" borderId="45" xfId="0" applyFont="1" applyFill="1" applyBorder="1"/>
    <xf numFmtId="3" fontId="4" fillId="0" borderId="3" xfId="0" applyNumberFormat="1" applyFont="1" applyFill="1" applyBorder="1"/>
    <xf numFmtId="0" fontId="11" fillId="2" borderId="24" xfId="0" applyFont="1" applyFill="1" applyBorder="1"/>
    <xf numFmtId="49" fontId="8" fillId="2" borderId="21" xfId="0" applyNumberFormat="1" applyFont="1" applyFill="1" applyBorder="1" applyAlignment="1">
      <alignment horizontal="left"/>
    </xf>
    <xf numFmtId="3" fontId="20" fillId="0" borderId="0" xfId="0" applyNumberFormat="1" applyFont="1"/>
    <xf numFmtId="3" fontId="1" fillId="0" borderId="0" xfId="0" applyNumberFormat="1" applyFont="1" applyAlignment="1"/>
    <xf numFmtId="0" fontId="1" fillId="0" borderId="0" xfId="0" applyFont="1"/>
    <xf numFmtId="3" fontId="13" fillId="0" borderId="0" xfId="0" applyNumberFormat="1" applyFont="1"/>
    <xf numFmtId="3" fontId="18" fillId="0" borderId="0" xfId="0" applyNumberFormat="1" applyFont="1"/>
    <xf numFmtId="0" fontId="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0" fillId="0" borderId="63" xfId="0" applyNumberFormat="1" applyFont="1" applyFill="1" applyBorder="1" applyAlignment="1">
      <alignment horizontal="left"/>
    </xf>
    <xf numFmtId="0" fontId="5" fillId="0" borderId="12" xfId="0" applyFont="1" applyFill="1" applyBorder="1"/>
    <xf numFmtId="3" fontId="4" fillId="0" borderId="2" xfId="0" applyNumberFormat="1" applyFont="1" applyFill="1" applyBorder="1"/>
    <xf numFmtId="0" fontId="4" fillId="0" borderId="52" xfId="0" applyFont="1" applyFill="1" applyBorder="1"/>
    <xf numFmtId="0" fontId="5" fillId="0" borderId="26" xfId="0" applyFont="1" applyFill="1" applyBorder="1"/>
    <xf numFmtId="0" fontId="5" fillId="0" borderId="63" xfId="0" applyFont="1" applyFill="1" applyBorder="1"/>
    <xf numFmtId="0" fontId="5" fillId="0" borderId="13" xfId="0" applyFont="1" applyFill="1" applyBorder="1" applyAlignment="1">
      <alignment horizontal="left"/>
    </xf>
    <xf numFmtId="3" fontId="10" fillId="2" borderId="41" xfId="0" applyNumberFormat="1" applyFont="1" applyFill="1" applyBorder="1"/>
    <xf numFmtId="49" fontId="5" fillId="0" borderId="13" xfId="0" applyNumberFormat="1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right"/>
    </xf>
    <xf numFmtId="0" fontId="4" fillId="0" borderId="8" xfId="0" applyNumberFormat="1" applyFont="1" applyFill="1" applyBorder="1"/>
    <xf numFmtId="3" fontId="4" fillId="0" borderId="66" xfId="0" applyNumberFormat="1" applyFont="1" applyFill="1" applyBorder="1"/>
    <xf numFmtId="3" fontId="26" fillId="0" borderId="17" xfId="0" applyNumberFormat="1" applyFont="1" applyFill="1" applyBorder="1"/>
    <xf numFmtId="4" fontId="8" fillId="2" borderId="30" xfId="0" applyNumberFormat="1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vertical="center"/>
    </xf>
    <xf numFmtId="4" fontId="4" fillId="0" borderId="10" xfId="0" applyNumberFormat="1" applyFont="1" applyFill="1" applyBorder="1" applyAlignment="1">
      <alignment vertical="center"/>
    </xf>
    <xf numFmtId="4" fontId="4" fillId="0" borderId="44" xfId="0" applyNumberFormat="1" applyFont="1" applyFill="1" applyBorder="1" applyAlignment="1">
      <alignment vertical="center"/>
    </xf>
    <xf numFmtId="4" fontId="5" fillId="0" borderId="9" xfId="0" applyNumberFormat="1" applyFont="1" applyFill="1" applyBorder="1"/>
    <xf numFmtId="4" fontId="5" fillId="0" borderId="10" xfId="0" applyNumberFormat="1" applyFont="1" applyFill="1" applyBorder="1"/>
    <xf numFmtId="4" fontId="5" fillId="0" borderId="83" xfId="0" applyNumberFormat="1" applyFont="1" applyFill="1" applyBorder="1"/>
    <xf numFmtId="4" fontId="4" fillId="0" borderId="9" xfId="0" applyNumberFormat="1" applyFont="1" applyFill="1" applyBorder="1"/>
    <xf numFmtId="4" fontId="4" fillId="0" borderId="10" xfId="0" applyNumberFormat="1" applyFont="1" applyFill="1" applyBorder="1"/>
    <xf numFmtId="4" fontId="4" fillId="0" borderId="64" xfId="0" applyNumberFormat="1" applyFont="1" applyFill="1" applyBorder="1"/>
    <xf numFmtId="4" fontId="4" fillId="0" borderId="0" xfId="0" applyNumberFormat="1" applyFont="1" applyFill="1" applyBorder="1"/>
    <xf numFmtId="4" fontId="12" fillId="3" borderId="25" xfId="0" applyNumberFormat="1" applyFont="1" applyFill="1" applyBorder="1"/>
    <xf numFmtId="4" fontId="4" fillId="0" borderId="6" xfId="0" applyNumberFormat="1" applyFont="1" applyFill="1" applyBorder="1"/>
    <xf numFmtId="4" fontId="4" fillId="0" borderId="7" xfId="0" applyNumberFormat="1" applyFont="1" applyFill="1" applyBorder="1"/>
    <xf numFmtId="4" fontId="4" fillId="0" borderId="17" xfId="0" applyNumberFormat="1" applyFont="1" applyFill="1" applyBorder="1"/>
    <xf numFmtId="4" fontId="4" fillId="0" borderId="40" xfId="0" applyNumberFormat="1" applyFont="1" applyFill="1" applyBorder="1"/>
    <xf numFmtId="4" fontId="4" fillId="0" borderId="3" xfId="0" applyNumberFormat="1" applyFont="1" applyFill="1" applyBorder="1"/>
    <xf numFmtId="4" fontId="16" fillId="2" borderId="1" xfId="0" applyNumberFormat="1" applyFont="1" applyFill="1" applyBorder="1"/>
    <xf numFmtId="4" fontId="4" fillId="0" borderId="16" xfId="0" applyNumberFormat="1" applyFont="1" applyFill="1" applyBorder="1"/>
    <xf numFmtId="4" fontId="4" fillId="0" borderId="2" xfId="0" applyNumberFormat="1" applyFont="1" applyFill="1" applyBorder="1"/>
    <xf numFmtId="4" fontId="4" fillId="0" borderId="52" xfId="0" applyNumberFormat="1" applyFont="1" applyFill="1" applyBorder="1"/>
    <xf numFmtId="4" fontId="5" fillId="0" borderId="60" xfId="0" applyNumberFormat="1" applyFont="1" applyFill="1" applyBorder="1" applyAlignment="1">
      <alignment horizontal="right"/>
    </xf>
    <xf numFmtId="4" fontId="5" fillId="0" borderId="65" xfId="0" applyNumberFormat="1" applyFont="1" applyFill="1" applyBorder="1" applyAlignment="1">
      <alignment horizontal="right"/>
    </xf>
    <xf numFmtId="4" fontId="5" fillId="0" borderId="65" xfId="0" applyNumberFormat="1" applyFont="1" applyFill="1" applyBorder="1" applyAlignment="1">
      <alignment horizontal="left"/>
    </xf>
    <xf numFmtId="4" fontId="4" fillId="0" borderId="63" xfId="0" applyNumberFormat="1" applyFont="1" applyFill="1" applyBorder="1"/>
    <xf numFmtId="4" fontId="8" fillId="2" borderId="3" xfId="0" applyNumberFormat="1" applyFont="1" applyFill="1" applyBorder="1"/>
    <xf numFmtId="4" fontId="4" fillId="0" borderId="12" xfId="0" applyNumberFormat="1" applyFont="1" applyFill="1" applyBorder="1"/>
    <xf numFmtId="4" fontId="4" fillId="0" borderId="14" xfId="0" applyNumberFormat="1" applyFont="1" applyFill="1" applyBorder="1"/>
    <xf numFmtId="4" fontId="4" fillId="0" borderId="19" xfId="0" applyNumberFormat="1" applyFont="1" applyFill="1" applyBorder="1"/>
    <xf numFmtId="4" fontId="4" fillId="0" borderId="34" xfId="0" applyNumberFormat="1" applyFont="1" applyFill="1" applyBorder="1"/>
    <xf numFmtId="4" fontId="4" fillId="0" borderId="60" xfId="0" applyNumberFormat="1" applyFont="1" applyFill="1" applyBorder="1"/>
    <xf numFmtId="4" fontId="4" fillId="0" borderId="62" xfId="0" applyNumberFormat="1" applyFont="1" applyFill="1" applyBorder="1"/>
    <xf numFmtId="4" fontId="2" fillId="0" borderId="1" xfId="0" applyNumberFormat="1" applyFont="1" applyFill="1" applyBorder="1"/>
    <xf numFmtId="4" fontId="10" fillId="0" borderId="1" xfId="0" applyNumberFormat="1" applyFont="1" applyFill="1" applyBorder="1"/>
    <xf numFmtId="4" fontId="4" fillId="0" borderId="18" xfId="0" applyNumberFormat="1" applyFont="1" applyFill="1" applyBorder="1"/>
    <xf numFmtId="4" fontId="4" fillId="0" borderId="13" xfId="0" applyNumberFormat="1" applyFont="1" applyFill="1" applyBorder="1"/>
    <xf numFmtId="4" fontId="4" fillId="0" borderId="41" xfId="0" applyNumberFormat="1" applyFont="1" applyFill="1" applyBorder="1"/>
    <xf numFmtId="4" fontId="11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15" fillId="0" borderId="0" xfId="0" applyNumberFormat="1" applyFont="1" applyFill="1"/>
    <xf numFmtId="4" fontId="5" fillId="0" borderId="1" xfId="0" applyNumberFormat="1" applyFont="1" applyFill="1" applyBorder="1"/>
    <xf numFmtId="2" fontId="4" fillId="0" borderId="62" xfId="0" applyNumberFormat="1" applyFont="1" applyFill="1" applyBorder="1"/>
    <xf numFmtId="2" fontId="4" fillId="0" borderId="7" xfId="0" applyNumberFormat="1" applyFont="1" applyFill="1" applyBorder="1"/>
    <xf numFmtId="4" fontId="5" fillId="0" borderId="19" xfId="0" applyNumberFormat="1" applyFont="1" applyBorder="1"/>
    <xf numFmtId="4" fontId="5" fillId="0" borderId="14" xfId="0" applyNumberFormat="1" applyFont="1" applyBorder="1"/>
    <xf numFmtId="4" fontId="12" fillId="3" borderId="46" xfId="0" applyNumberFormat="1" applyFont="1" applyFill="1" applyBorder="1"/>
    <xf numFmtId="4" fontId="8" fillId="2" borderId="2" xfId="0" applyNumberFormat="1" applyFont="1" applyFill="1" applyBorder="1"/>
    <xf numFmtId="4" fontId="2" fillId="0" borderId="3" xfId="0" applyNumberFormat="1" applyFont="1" applyBorder="1"/>
    <xf numFmtId="4" fontId="10" fillId="0" borderId="1" xfId="0" applyNumberFormat="1" applyFont="1" applyBorder="1"/>
    <xf numFmtId="4" fontId="4" fillId="0" borderId="19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4" fontId="12" fillId="3" borderId="20" xfId="0" applyNumberFormat="1" applyFont="1" applyFill="1" applyBorder="1"/>
    <xf numFmtId="4" fontId="8" fillId="2" borderId="20" xfId="0" applyNumberFormat="1" applyFont="1" applyFill="1" applyBorder="1"/>
    <xf numFmtId="4" fontId="4" fillId="0" borderId="34" xfId="0" applyNumberFormat="1" applyFont="1" applyBorder="1"/>
    <xf numFmtId="4" fontId="2" fillId="0" borderId="1" xfId="0" applyNumberFormat="1" applyFont="1" applyBorder="1"/>
    <xf numFmtId="4" fontId="4" fillId="0" borderId="40" xfId="0" applyNumberFormat="1" applyFont="1" applyBorder="1"/>
    <xf numFmtId="4" fontId="4" fillId="0" borderId="45" xfId="0" applyNumberFormat="1" applyFont="1" applyBorder="1"/>
    <xf numFmtId="4" fontId="5" fillId="0" borderId="45" xfId="0" applyNumberFormat="1" applyFont="1" applyBorder="1"/>
    <xf numFmtId="4" fontId="16" fillId="2" borderId="3" xfId="0" applyNumberFormat="1" applyFont="1" applyFill="1" applyBorder="1"/>
    <xf numFmtId="4" fontId="5" fillId="0" borderId="55" xfId="0" applyNumberFormat="1" applyFont="1" applyBorder="1"/>
    <xf numFmtId="4" fontId="17" fillId="3" borderId="46" xfId="0" applyNumberFormat="1" applyFont="1" applyFill="1" applyBorder="1"/>
    <xf numFmtId="4" fontId="2" fillId="0" borderId="45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2" fillId="0" borderId="14" xfId="0" applyNumberFormat="1" applyFont="1" applyBorder="1"/>
    <xf numFmtId="4" fontId="23" fillId="0" borderId="0" xfId="0" applyNumberFormat="1" applyFont="1"/>
    <xf numFmtId="2" fontId="12" fillId="3" borderId="3" xfId="0" applyNumberFormat="1" applyFont="1" applyFill="1" applyBorder="1" applyAlignment="1">
      <alignment horizontal="right"/>
    </xf>
    <xf numFmtId="2" fontId="8" fillId="2" borderId="14" xfId="0" applyNumberFormat="1" applyFont="1" applyFill="1" applyBorder="1"/>
    <xf numFmtId="2" fontId="2" fillId="0" borderId="14" xfId="0" applyNumberFormat="1" applyFont="1" applyBorder="1"/>
    <xf numFmtId="2" fontId="5" fillId="0" borderId="19" xfId="0" applyNumberFormat="1" applyFont="1" applyBorder="1"/>
    <xf numFmtId="2" fontId="5" fillId="0" borderId="40" xfId="0" applyNumberFormat="1" applyFont="1" applyBorder="1"/>
    <xf numFmtId="4" fontId="13" fillId="0" borderId="0" xfId="0" applyNumberFormat="1" applyFont="1"/>
    <xf numFmtId="4" fontId="0" fillId="0" borderId="53" xfId="0" applyNumberFormat="1" applyBorder="1"/>
    <xf numFmtId="4" fontId="0" fillId="0" borderId="12" xfId="0" applyNumberFormat="1" applyBorder="1"/>
    <xf numFmtId="4" fontId="11" fillId="0" borderId="39" xfId="0" applyNumberFormat="1" applyFont="1" applyBorder="1" applyAlignment="1">
      <alignment vertical="center"/>
    </xf>
    <xf numFmtId="4" fontId="10" fillId="0" borderId="84" xfId="0" applyNumberFormat="1" applyFont="1" applyBorder="1"/>
    <xf numFmtId="3" fontId="5" fillId="0" borderId="8" xfId="0" applyNumberFormat="1" applyFont="1" applyBorder="1"/>
    <xf numFmtId="0" fontId="15" fillId="0" borderId="10" xfId="0" applyFont="1" applyBorder="1"/>
    <xf numFmtId="0" fontId="15" fillId="0" borderId="0" xfId="0" applyFont="1" applyBorder="1"/>
    <xf numFmtId="0" fontId="15" fillId="0" borderId="28" xfId="0" applyFont="1" applyBorder="1"/>
    <xf numFmtId="4" fontId="10" fillId="0" borderId="14" xfId="0" applyNumberFormat="1" applyFont="1" applyBorder="1"/>
    <xf numFmtId="4" fontId="15" fillId="0" borderId="40" xfId="0" applyNumberFormat="1" applyFont="1" applyBorder="1"/>
    <xf numFmtId="4" fontId="2" fillId="3" borderId="25" xfId="0" applyNumberFormat="1" applyFont="1" applyFill="1" applyBorder="1"/>
    <xf numFmtId="4" fontId="0" fillId="0" borderId="0" xfId="0" applyNumberFormat="1"/>
    <xf numFmtId="3" fontId="9" fillId="0" borderId="0" xfId="0" applyNumberFormat="1" applyFont="1"/>
    <xf numFmtId="0" fontId="27" fillId="0" borderId="0" xfId="0" applyFont="1"/>
    <xf numFmtId="4" fontId="8" fillId="2" borderId="45" xfId="0" applyNumberFormat="1" applyFont="1" applyFill="1" applyBorder="1"/>
    <xf numFmtId="4" fontId="4" fillId="0" borderId="67" xfId="0" applyNumberFormat="1" applyFont="1" applyBorder="1"/>
    <xf numFmtId="4" fontId="4" fillId="0" borderId="65" xfId="0" applyNumberFormat="1" applyFont="1" applyBorder="1"/>
    <xf numFmtId="4" fontId="15" fillId="0" borderId="0" xfId="0" applyNumberFormat="1" applyFont="1" applyBorder="1"/>
    <xf numFmtId="4" fontId="4" fillId="0" borderId="0" xfId="0" applyNumberFormat="1" applyFont="1" applyBorder="1"/>
    <xf numFmtId="4" fontId="8" fillId="2" borderId="63" xfId="0" applyNumberFormat="1" applyFont="1" applyFill="1" applyBorder="1" applyAlignment="1">
      <alignment horizontal="left"/>
    </xf>
    <xf numFmtId="4" fontId="2" fillId="2" borderId="15" xfId="0" applyNumberFormat="1" applyFont="1" applyFill="1" applyBorder="1" applyAlignment="1">
      <alignment horizontal="right"/>
    </xf>
    <xf numFmtId="4" fontId="0" fillId="0" borderId="6" xfId="0" applyNumberFormat="1" applyBorder="1"/>
    <xf numFmtId="4" fontId="11" fillId="0" borderId="39" xfId="0" applyNumberFormat="1" applyFont="1" applyBorder="1"/>
    <xf numFmtId="4" fontId="18" fillId="2" borderId="25" xfId="0" applyNumberFormat="1" applyFont="1" applyFill="1" applyBorder="1"/>
    <xf numFmtId="4" fontId="8" fillId="2" borderId="69" xfId="0" applyNumberFormat="1" applyFont="1" applyFill="1" applyBorder="1" applyAlignment="1">
      <alignment horizontal="right"/>
    </xf>
    <xf numFmtId="4" fontId="15" fillId="0" borderId="85" xfId="0" applyNumberFormat="1" applyFont="1" applyBorder="1"/>
    <xf numFmtId="4" fontId="10" fillId="2" borderId="47" xfId="0" applyNumberFormat="1" applyFont="1" applyFill="1" applyBorder="1"/>
    <xf numFmtId="2" fontId="15" fillId="0" borderId="0" xfId="0" applyNumberFormat="1" applyFont="1" applyFill="1"/>
    <xf numFmtId="4" fontId="1" fillId="0" borderId="0" xfId="0" applyNumberFormat="1" applyFont="1" applyAlignment="1"/>
    <xf numFmtId="4" fontId="5" fillId="0" borderId="17" xfId="0" applyNumberFormat="1" applyFont="1" applyBorder="1"/>
    <xf numFmtId="4" fontId="5" fillId="0" borderId="34" xfId="0" applyNumberFormat="1" applyFont="1" applyBorder="1"/>
    <xf numFmtId="3" fontId="23" fillId="0" borderId="0" xfId="0" applyNumberFormat="1" applyFont="1"/>
    <xf numFmtId="3" fontId="3" fillId="0" borderId="0" xfId="0" applyNumberFormat="1" applyFont="1"/>
    <xf numFmtId="0" fontId="15" fillId="0" borderId="0" xfId="0" applyFont="1" applyAlignment="1">
      <alignment horizontal="left"/>
    </xf>
    <xf numFmtId="4" fontId="8" fillId="2" borderId="59" xfId="0" applyNumberFormat="1" applyFont="1" applyFill="1" applyBorder="1"/>
    <xf numFmtId="4" fontId="8" fillId="2" borderId="41" xfId="0" applyNumberFormat="1" applyFont="1" applyFill="1" applyBorder="1"/>
    <xf numFmtId="4" fontId="5" fillId="0" borderId="6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right"/>
    </xf>
    <xf numFmtId="4" fontId="5" fillId="0" borderId="13" xfId="0" applyNumberFormat="1" applyFont="1" applyFill="1" applyBorder="1" applyAlignment="1">
      <alignment horizontal="left"/>
    </xf>
    <xf numFmtId="4" fontId="5" fillId="0" borderId="59" xfId="0" applyNumberFormat="1" applyFont="1" applyFill="1" applyBorder="1"/>
    <xf numFmtId="0" fontId="5" fillId="0" borderId="10" xfId="0" applyFont="1" applyFill="1" applyBorder="1"/>
    <xf numFmtId="2" fontId="4" fillId="0" borderId="8" xfId="0" applyNumberFormat="1" applyFont="1" applyFill="1" applyBorder="1"/>
    <xf numFmtId="0" fontId="10" fillId="0" borderId="3" xfId="0" applyNumberFormat="1" applyFont="1" applyFill="1" applyBorder="1" applyAlignment="1">
      <alignment horizontal="left"/>
    </xf>
    <xf numFmtId="4" fontId="4" fillId="0" borderId="8" xfId="0" applyNumberFormat="1" applyFont="1" applyFill="1" applyBorder="1"/>
    <xf numFmtId="4" fontId="4" fillId="0" borderId="1" xfId="0" applyNumberFormat="1" applyFont="1" applyFill="1" applyBorder="1"/>
    <xf numFmtId="4" fontId="5" fillId="0" borderId="6" xfId="0" applyNumberFormat="1" applyFont="1" applyFill="1" applyBorder="1"/>
    <xf numFmtId="4" fontId="5" fillId="0" borderId="7" xfId="0" applyNumberFormat="1" applyFont="1" applyFill="1" applyBorder="1"/>
    <xf numFmtId="4" fontId="5" fillId="0" borderId="12" xfId="0" applyNumberFormat="1" applyFont="1" applyFill="1" applyBorder="1"/>
    <xf numFmtId="4" fontId="2" fillId="2" borderId="1" xfId="0" applyNumberFormat="1" applyFont="1" applyFill="1" applyBorder="1" applyAlignment="1">
      <alignment horizontal="right"/>
    </xf>
    <xf numFmtId="0" fontId="15" fillId="0" borderId="39" xfId="0" applyFont="1" applyBorder="1"/>
    <xf numFmtId="0" fontId="15" fillId="0" borderId="0" xfId="0" applyFont="1" applyAlignment="1"/>
    <xf numFmtId="49" fontId="2" fillId="0" borderId="17" xfId="0" applyNumberFormat="1" applyFont="1" applyFill="1" applyBorder="1" applyAlignment="1">
      <alignment horizontal="center"/>
    </xf>
    <xf numFmtId="2" fontId="4" fillId="0" borderId="12" xfId="0" applyNumberFormat="1" applyFont="1" applyFill="1" applyBorder="1"/>
    <xf numFmtId="3" fontId="15" fillId="0" borderId="12" xfId="0" applyNumberFormat="1" applyFont="1" applyFill="1" applyBorder="1"/>
    <xf numFmtId="0" fontId="4" fillId="0" borderId="3" xfId="0" applyFont="1" applyFill="1" applyBorder="1" applyAlignment="1">
      <alignment horizontal="center"/>
    </xf>
    <xf numFmtId="0" fontId="4" fillId="0" borderId="51" xfId="0" applyFont="1" applyFill="1" applyBorder="1"/>
    <xf numFmtId="0" fontId="15" fillId="0" borderId="10" xfId="0" applyFont="1" applyFill="1" applyBorder="1"/>
    <xf numFmtId="0" fontId="5" fillId="0" borderId="6" xfId="0" applyFont="1" applyFill="1" applyBorder="1" applyAlignment="1">
      <alignment horizontal="left"/>
    </xf>
    <xf numFmtId="4" fontId="9" fillId="0" borderId="0" xfId="0" applyNumberFormat="1" applyFont="1"/>
    <xf numFmtId="4" fontId="12" fillId="3" borderId="14" xfId="0" applyNumberFormat="1" applyFont="1" applyFill="1" applyBorder="1"/>
    <xf numFmtId="4" fontId="16" fillId="2" borderId="27" xfId="0" applyNumberFormat="1" applyFont="1" applyFill="1" applyBorder="1"/>
    <xf numFmtId="2" fontId="4" fillId="0" borderId="8" xfId="0" applyNumberFormat="1" applyFont="1" applyBorder="1"/>
    <xf numFmtId="2" fontId="4" fillId="0" borderId="19" xfId="0" applyNumberFormat="1" applyFont="1" applyBorder="1" applyAlignment="1"/>
    <xf numFmtId="3" fontId="4" fillId="0" borderId="10" xfId="0" applyNumberFormat="1" applyFont="1" applyFill="1" applyBorder="1"/>
    <xf numFmtId="4" fontId="9" fillId="0" borderId="0" xfId="0" applyNumberFormat="1" applyFont="1" applyFill="1"/>
    <xf numFmtId="4" fontId="10" fillId="0" borderId="11" xfId="0" applyNumberFormat="1" applyFont="1" applyFill="1" applyBorder="1"/>
    <xf numFmtId="4" fontId="4" fillId="0" borderId="26" xfId="0" applyNumberFormat="1" applyFont="1" applyFill="1" applyBorder="1"/>
    <xf numFmtId="4" fontId="4" fillId="0" borderId="65" xfId="0" applyNumberFormat="1" applyFont="1" applyFill="1" applyBorder="1"/>
    <xf numFmtId="4" fontId="4" fillId="0" borderId="66" xfId="0" applyNumberFormat="1" applyFont="1" applyFill="1" applyBorder="1"/>
    <xf numFmtId="4" fontId="13" fillId="0" borderId="0" xfId="0" applyNumberFormat="1" applyFont="1" applyFill="1"/>
    <xf numFmtId="2" fontId="4" fillId="0" borderId="19" xfId="0" applyNumberFormat="1" applyFont="1" applyBorder="1"/>
    <xf numFmtId="2" fontId="15" fillId="0" borderId="17" xfId="0" applyNumberFormat="1" applyFont="1" applyBorder="1"/>
    <xf numFmtId="2" fontId="4" fillId="0" borderId="16" xfId="0" applyNumberFormat="1" applyFont="1" applyFill="1" applyBorder="1"/>
    <xf numFmtId="4" fontId="0" fillId="0" borderId="3" xfId="0" applyNumberFormat="1" applyBorder="1"/>
    <xf numFmtId="4" fontId="15" fillId="0" borderId="13" xfId="0" applyNumberFormat="1" applyFont="1" applyBorder="1"/>
    <xf numFmtId="4" fontId="15" fillId="0" borderId="7" xfId="0" applyNumberFormat="1" applyFont="1" applyBorder="1"/>
    <xf numFmtId="3" fontId="11" fillId="0" borderId="0" xfId="0" applyNumberFormat="1" applyFont="1"/>
    <xf numFmtId="165" fontId="1" fillId="0" borderId="0" xfId="0" applyNumberFormat="1" applyFont="1" applyAlignment="1"/>
    <xf numFmtId="4" fontId="1" fillId="0" borderId="0" xfId="0" applyNumberFormat="1" applyFont="1"/>
    <xf numFmtId="4" fontId="13" fillId="0" borderId="0" xfId="0" applyNumberFormat="1" applyFont="1" applyAlignment="1"/>
    <xf numFmtId="3" fontId="13" fillId="0" borderId="0" xfId="0" applyNumberFormat="1" applyFont="1" applyAlignment="1"/>
    <xf numFmtId="2" fontId="0" fillId="0" borderId="0" xfId="0" applyNumberFormat="1"/>
    <xf numFmtId="2" fontId="15" fillId="0" borderId="0" xfId="0" applyNumberFormat="1" applyFont="1"/>
    <xf numFmtId="4" fontId="11" fillId="0" borderId="0" xfId="0" applyNumberFormat="1" applyFont="1"/>
    <xf numFmtId="3" fontId="4" fillId="0" borderId="55" xfId="0" applyNumberFormat="1" applyFont="1" applyBorder="1"/>
    <xf numFmtId="0" fontId="5" fillId="0" borderId="63" xfId="0" applyNumberFormat="1" applyFont="1" applyFill="1" applyBorder="1" applyAlignment="1">
      <alignment horizontal="center"/>
    </xf>
    <xf numFmtId="4" fontId="4" fillId="0" borderId="45" xfId="0" applyNumberFormat="1" applyFont="1" applyFill="1" applyBorder="1"/>
    <xf numFmtId="49" fontId="8" fillId="2" borderId="59" xfId="0" applyNumberFormat="1" applyFont="1" applyFill="1" applyBorder="1" applyAlignment="1">
      <alignment horizontal="right"/>
    </xf>
    <xf numFmtId="0" fontId="8" fillId="2" borderId="59" xfId="0" applyNumberFormat="1" applyFont="1" applyFill="1" applyBorder="1" applyAlignment="1">
      <alignment horizontal="right"/>
    </xf>
    <xf numFmtId="0" fontId="2" fillId="0" borderId="3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8" fillId="2" borderId="14" xfId="0" applyFont="1" applyFill="1" applyBorder="1" applyAlignment="1">
      <alignment horizontal="left"/>
    </xf>
    <xf numFmtId="0" fontId="8" fillId="2" borderId="59" xfId="0" applyFont="1" applyFill="1" applyBorder="1" applyAlignment="1">
      <alignment horizontal="left"/>
    </xf>
    <xf numFmtId="0" fontId="12" fillId="3" borderId="89" xfId="0" applyFont="1" applyFill="1" applyBorder="1" applyAlignment="1">
      <alignment horizontal="left"/>
    </xf>
    <xf numFmtId="0" fontId="12" fillId="3" borderId="82" xfId="0" applyFont="1" applyFill="1" applyBorder="1" applyAlignment="1">
      <alignment horizontal="left"/>
    </xf>
    <xf numFmtId="0" fontId="12" fillId="3" borderId="90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17" fillId="3" borderId="91" xfId="0" applyFont="1" applyFill="1" applyBorder="1" applyAlignment="1">
      <alignment horizontal="left"/>
    </xf>
    <xf numFmtId="0" fontId="17" fillId="3" borderId="92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16" fillId="2" borderId="14" xfId="0" applyFont="1" applyFill="1" applyBorder="1" applyAlignment="1">
      <alignment horizontal="left"/>
    </xf>
    <xf numFmtId="0" fontId="16" fillId="2" borderId="59" xfId="0" applyFont="1" applyFill="1" applyBorder="1" applyAlignment="1">
      <alignment horizontal="left"/>
    </xf>
    <xf numFmtId="0" fontId="8" fillId="2" borderId="45" xfId="0" applyFont="1" applyFill="1" applyBorder="1" applyAlignment="1">
      <alignment horizontal="left"/>
    </xf>
    <xf numFmtId="0" fontId="8" fillId="2" borderId="41" xfId="0" applyFont="1" applyFill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3" borderId="45" xfId="0" applyFont="1" applyFill="1" applyBorder="1" applyAlignment="1">
      <alignment horizontal="left"/>
    </xf>
    <xf numFmtId="0" fontId="12" fillId="3" borderId="41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9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3" borderId="14" xfId="0" applyFont="1" applyFill="1" applyBorder="1" applyAlignment="1">
      <alignment horizontal="left"/>
    </xf>
    <xf numFmtId="0" fontId="12" fillId="3" borderId="15" xfId="0" applyFont="1" applyFill="1" applyBorder="1" applyAlignment="1">
      <alignment horizontal="left"/>
    </xf>
    <xf numFmtId="0" fontId="2" fillId="0" borderId="9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 wrapText="1"/>
    </xf>
    <xf numFmtId="3" fontId="2" fillId="3" borderId="81" xfId="0" applyNumberFormat="1" applyFont="1" applyFill="1" applyBorder="1" applyAlignment="1">
      <alignment horizontal="center" vertical="center" wrapText="1"/>
    </xf>
    <xf numFmtId="3" fontId="2" fillId="3" borderId="87" xfId="0" applyNumberFormat="1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88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0" fontId="14" fillId="3" borderId="86" xfId="0" applyFont="1" applyFill="1" applyBorder="1" applyAlignment="1">
      <alignment horizontal="center" vertical="center" wrapText="1"/>
    </xf>
    <xf numFmtId="0" fontId="23" fillId="0" borderId="22" xfId="0" applyFont="1" applyBorder="1"/>
    <xf numFmtId="0" fontId="23" fillId="0" borderId="24" xfId="0" applyFont="1" applyBorder="1"/>
    <xf numFmtId="0" fontId="2" fillId="0" borderId="24" xfId="0" applyFont="1" applyBorder="1" applyAlignment="1">
      <alignment horizontal="center"/>
    </xf>
    <xf numFmtId="0" fontId="8" fillId="2" borderId="15" xfId="0" applyFont="1" applyFill="1" applyBorder="1" applyAlignment="1">
      <alignment horizontal="left"/>
    </xf>
    <xf numFmtId="0" fontId="4" fillId="0" borderId="33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49" fontId="2" fillId="0" borderId="33" xfId="0" applyNumberFormat="1" applyFont="1" applyFill="1" applyBorder="1" applyAlignment="1">
      <alignment horizontal="center"/>
    </xf>
    <xf numFmtId="49" fontId="2" fillId="0" borderId="22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8" fillId="0" borderId="33" xfId="0" applyNumberFormat="1" applyFont="1" applyFill="1" applyBorder="1" applyAlignment="1">
      <alignment horizontal="center"/>
    </xf>
    <xf numFmtId="49" fontId="8" fillId="0" borderId="22" xfId="0" applyNumberFormat="1" applyFont="1" applyFill="1" applyBorder="1" applyAlignment="1">
      <alignment horizontal="center"/>
    </xf>
    <xf numFmtId="49" fontId="8" fillId="0" borderId="24" xfId="0" applyNumberFormat="1" applyFont="1" applyFill="1" applyBorder="1" applyAlignment="1">
      <alignment horizontal="center"/>
    </xf>
    <xf numFmtId="0" fontId="8" fillId="2" borderId="95" xfId="0" applyFont="1" applyFill="1" applyBorder="1" applyAlignment="1">
      <alignment horizontal="left" vertical="center" wrapText="1"/>
    </xf>
    <xf numFmtId="0" fontId="8" fillId="2" borderId="92" xfId="0" applyFont="1" applyFill="1" applyBorder="1" applyAlignment="1">
      <alignment horizontal="left" vertical="center" wrapText="1"/>
    </xf>
    <xf numFmtId="16" fontId="2" fillId="0" borderId="93" xfId="0" applyNumberFormat="1" applyFont="1" applyFill="1" applyBorder="1" applyAlignment="1">
      <alignment horizontal="left"/>
    </xf>
    <xf numFmtId="49" fontId="7" fillId="3" borderId="29" xfId="0" applyNumberFormat="1" applyFont="1" applyFill="1" applyBorder="1" applyAlignment="1">
      <alignment horizontal="center" vertical="center" wrapText="1"/>
    </xf>
    <xf numFmtId="49" fontId="7" fillId="3" borderId="88" xfId="0" applyNumberFormat="1" applyFont="1" applyFill="1" applyBorder="1" applyAlignment="1">
      <alignment horizontal="center" vertical="center" wrapText="1"/>
    </xf>
    <xf numFmtId="16" fontId="2" fillId="3" borderId="96" xfId="0" applyNumberFormat="1" applyFont="1" applyFill="1" applyBorder="1" applyAlignment="1">
      <alignment horizontal="center" vertical="center" wrapText="1"/>
    </xf>
    <xf numFmtId="16" fontId="2" fillId="3" borderId="97" xfId="0" applyNumberFormat="1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86" xfId="0" applyFont="1" applyFill="1" applyBorder="1" applyAlignment="1">
      <alignment horizontal="center" vertical="center"/>
    </xf>
    <xf numFmtId="49" fontId="8" fillId="2" borderId="63" xfId="0" applyNumberFormat="1" applyFont="1" applyFill="1" applyBorder="1" applyAlignment="1">
      <alignment horizontal="left"/>
    </xf>
    <xf numFmtId="49" fontId="8" fillId="2" borderId="41" xfId="0" applyNumberFormat="1" applyFont="1" applyFill="1" applyBorder="1" applyAlignment="1">
      <alignment horizontal="left"/>
    </xf>
    <xf numFmtId="0" fontId="8" fillId="2" borderId="63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59" xfId="0" applyFont="1" applyFill="1" applyBorder="1" applyAlignment="1">
      <alignment horizontal="left"/>
    </xf>
    <xf numFmtId="0" fontId="10" fillId="2" borderId="15" xfId="0" applyNumberFormat="1" applyFont="1" applyFill="1" applyBorder="1" applyAlignment="1">
      <alignment horizontal="left"/>
    </xf>
    <xf numFmtId="0" fontId="10" fillId="2" borderId="59" xfId="0" applyNumberFormat="1" applyFont="1" applyFill="1" applyBorder="1" applyAlignment="1">
      <alignment horizontal="left"/>
    </xf>
    <xf numFmtId="0" fontId="15" fillId="0" borderId="33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51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 vertical="center" wrapText="1"/>
    </xf>
    <xf numFmtId="0" fontId="8" fillId="2" borderId="63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59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left"/>
    </xf>
    <xf numFmtId="0" fontId="10" fillId="0" borderId="59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59" xfId="0" applyFont="1" applyFill="1" applyBorder="1" applyAlignment="1">
      <alignment horizontal="left"/>
    </xf>
    <xf numFmtId="16" fontId="8" fillId="0" borderId="33" xfId="0" applyNumberFormat="1" applyFont="1" applyFill="1" applyBorder="1" applyAlignment="1">
      <alignment horizontal="center"/>
    </xf>
    <xf numFmtId="16" fontId="8" fillId="0" borderId="22" xfId="0" applyNumberFormat="1" applyFont="1" applyFill="1" applyBorder="1" applyAlignment="1">
      <alignment horizontal="center"/>
    </xf>
    <xf numFmtId="16" fontId="8" fillId="0" borderId="24" xfId="0" applyNumberFormat="1" applyFont="1" applyFill="1" applyBorder="1" applyAlignment="1">
      <alignment horizontal="center"/>
    </xf>
    <xf numFmtId="0" fontId="12" fillId="3" borderId="59" xfId="0" applyFont="1" applyFill="1" applyBorder="1" applyAlignment="1">
      <alignment horizontal="left"/>
    </xf>
    <xf numFmtId="0" fontId="4" fillId="0" borderId="3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41" xfId="0" applyFont="1" applyBorder="1" applyAlignment="1">
      <alignment horizontal="center"/>
    </xf>
    <xf numFmtId="0" fontId="12" fillId="3" borderId="63" xfId="0" applyFont="1" applyFill="1" applyBorder="1" applyAlignment="1">
      <alignment horizontal="left"/>
    </xf>
    <xf numFmtId="0" fontId="14" fillId="3" borderId="96" xfId="0" applyFont="1" applyFill="1" applyBorder="1" applyAlignment="1">
      <alignment horizontal="center" vertical="center" wrapText="1"/>
    </xf>
    <xf numFmtId="0" fontId="14" fillId="3" borderId="97" xfId="0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16" fontId="2" fillId="0" borderId="93" xfId="0" applyNumberFormat="1" applyFont="1" applyBorder="1" applyAlignment="1">
      <alignment horizontal="left"/>
    </xf>
    <xf numFmtId="16" fontId="2" fillId="3" borderId="30" xfId="0" applyNumberFormat="1" applyFont="1" applyFill="1" applyBorder="1" applyAlignment="1">
      <alignment horizontal="center" vertical="center" wrapText="1"/>
    </xf>
    <xf numFmtId="16" fontId="2" fillId="3" borderId="86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center"/>
    </xf>
    <xf numFmtId="49" fontId="8" fillId="0" borderId="20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left"/>
    </xf>
    <xf numFmtId="0" fontId="12" fillId="3" borderId="37" xfId="0" applyFont="1" applyFill="1" applyBorder="1" applyAlignment="1">
      <alignment horizontal="left"/>
    </xf>
    <xf numFmtId="0" fontId="12" fillId="3" borderId="25" xfId="0" applyFont="1" applyFill="1" applyBorder="1" applyAlignment="1">
      <alignment horizontal="left"/>
    </xf>
    <xf numFmtId="49" fontId="2" fillId="2" borderId="14" xfId="0" applyNumberFormat="1" applyFont="1" applyFill="1" applyBorder="1" applyAlignment="1">
      <alignment horizontal="left"/>
    </xf>
    <xf numFmtId="49" fontId="2" fillId="2" borderId="59" xfId="0" applyNumberFormat="1" applyFont="1" applyFill="1" applyBorder="1" applyAlignment="1">
      <alignment horizontal="left"/>
    </xf>
    <xf numFmtId="0" fontId="0" fillId="0" borderId="98" xfId="0" applyBorder="1" applyAlignment="1">
      <alignment horizontal="center"/>
    </xf>
    <xf numFmtId="0" fontId="2" fillId="3" borderId="89" xfId="0" applyFont="1" applyFill="1" applyBorder="1" applyAlignment="1">
      <alignment horizontal="left"/>
    </xf>
    <xf numFmtId="0" fontId="2" fillId="3" borderId="82" xfId="0" applyFont="1" applyFill="1" applyBorder="1" applyAlignment="1">
      <alignment horizontal="left"/>
    </xf>
    <xf numFmtId="0" fontId="2" fillId="3" borderId="90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8" xfId="0" applyBorder="1" applyAlignment="1">
      <alignment horizontal="center"/>
    </xf>
    <xf numFmtId="49" fontId="14" fillId="3" borderId="29" xfId="0" applyNumberFormat="1" applyFont="1" applyFill="1" applyBorder="1" applyAlignment="1">
      <alignment horizontal="center" vertical="center" wrapText="1"/>
    </xf>
    <xf numFmtId="49" fontId="14" fillId="3" borderId="88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93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3" fontId="13" fillId="0" borderId="0" xfId="0" applyNumberFormat="1" applyFont="1" applyAlignment="1">
      <alignment horizontal="center"/>
    </xf>
    <xf numFmtId="0" fontId="18" fillId="0" borderId="99" xfId="0" applyFont="1" applyBorder="1" applyAlignment="1">
      <alignment horizontal="left" vertical="center"/>
    </xf>
    <xf numFmtId="0" fontId="18" fillId="0" borderId="98" xfId="0" applyFont="1" applyBorder="1" applyAlignment="1">
      <alignment horizontal="left" vertical="center"/>
    </xf>
    <xf numFmtId="0" fontId="18" fillId="0" borderId="100" xfId="0" applyFont="1" applyBorder="1" applyAlignment="1">
      <alignment horizontal="left" vertical="center"/>
    </xf>
    <xf numFmtId="0" fontId="18" fillId="0" borderId="101" xfId="0" applyFont="1" applyBorder="1" applyAlignment="1">
      <alignment horizontal="left" vertical="center"/>
    </xf>
    <xf numFmtId="0" fontId="18" fillId="0" borderId="93" xfId="0" applyFont="1" applyBorder="1" applyAlignment="1">
      <alignment horizontal="left" vertical="center"/>
    </xf>
    <xf numFmtId="0" fontId="18" fillId="0" borderId="102" xfId="0" applyFont="1" applyBorder="1" applyAlignment="1">
      <alignment horizontal="left" vertical="center"/>
    </xf>
    <xf numFmtId="0" fontId="0" fillId="0" borderId="101" xfId="0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5" xfId="0" applyBorder="1" applyAlignment="1">
      <alignment horizontal="center"/>
    </xf>
    <xf numFmtId="3" fontId="13" fillId="0" borderId="0" xfId="0" applyNumberFormat="1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árok1" enableFormatConditionsCalculation="0">
    <tabColor indexed="11"/>
  </sheetPr>
  <dimension ref="B1:R165"/>
  <sheetViews>
    <sheetView showGridLines="0" topLeftCell="A40" workbookViewId="0">
      <selection activeCell="F69" sqref="F69"/>
    </sheetView>
  </sheetViews>
  <sheetFormatPr defaultColWidth="9.109375" defaultRowHeight="13.2"/>
  <cols>
    <col min="1" max="1" width="1.6640625" style="281" customWidth="1"/>
    <col min="2" max="2" width="8.33203125" style="283" customWidth="1"/>
    <col min="3" max="3" width="7.109375" style="281" customWidth="1"/>
    <col min="4" max="4" width="37.109375" style="281" customWidth="1"/>
    <col min="5" max="5" width="13.109375" style="281" customWidth="1"/>
    <col min="6" max="6" width="12" style="281" customWidth="1"/>
    <col min="7" max="7" width="15.33203125" style="281" customWidth="1"/>
    <col min="8" max="8" width="15.6640625" style="281" customWidth="1"/>
    <col min="9" max="9" width="11.44140625" style="47" customWidth="1"/>
    <col min="10" max="10" width="11.44140625" style="281" customWidth="1"/>
    <col min="11" max="11" width="11.44140625" style="281" bestFit="1" customWidth="1"/>
    <col min="12" max="12" width="16.5546875" style="281" bestFit="1" customWidth="1"/>
    <col min="13" max="13" width="13.109375" style="281" customWidth="1"/>
    <col min="14" max="15" width="12.109375" style="281" customWidth="1"/>
    <col min="16" max="16" width="11.6640625" style="281" customWidth="1"/>
    <col min="17" max="16384" width="9.109375" style="281"/>
  </cols>
  <sheetData>
    <row r="1" spans="2:16">
      <c r="B1" s="637" t="s">
        <v>265</v>
      </c>
      <c r="C1" s="637"/>
      <c r="D1" s="637"/>
      <c r="E1" s="637"/>
      <c r="F1" s="637"/>
      <c r="G1" s="637"/>
      <c r="H1" s="637"/>
      <c r="I1" s="637"/>
      <c r="J1" s="637"/>
    </row>
    <row r="2" spans="2:16" ht="13.8" thickBot="1">
      <c r="B2" s="636" t="s">
        <v>75</v>
      </c>
      <c r="C2" s="636"/>
      <c r="D2" s="636"/>
      <c r="E2" s="636"/>
      <c r="F2" s="636"/>
      <c r="G2" s="636"/>
      <c r="H2" s="636"/>
      <c r="I2" s="636"/>
      <c r="J2" s="636"/>
    </row>
    <row r="3" spans="2:16" ht="16.5" customHeight="1" thickTop="1">
      <c r="B3" s="647" t="s">
        <v>109</v>
      </c>
      <c r="C3" s="649" t="s">
        <v>59</v>
      </c>
      <c r="D3" s="643" t="s">
        <v>124</v>
      </c>
      <c r="E3" s="643" t="s">
        <v>333</v>
      </c>
      <c r="F3" s="643" t="s">
        <v>332</v>
      </c>
      <c r="G3" s="643" t="s">
        <v>345</v>
      </c>
      <c r="H3" s="643" t="s">
        <v>359</v>
      </c>
      <c r="I3" s="643" t="s">
        <v>360</v>
      </c>
      <c r="J3" s="645" t="s">
        <v>344</v>
      </c>
    </row>
    <row r="4" spans="2:16" ht="24" customHeight="1" thickBot="1">
      <c r="B4" s="648"/>
      <c r="C4" s="650"/>
      <c r="D4" s="644"/>
      <c r="E4" s="644"/>
      <c r="F4" s="644"/>
      <c r="G4" s="644"/>
      <c r="H4" s="644"/>
      <c r="I4" s="644"/>
      <c r="J4" s="646"/>
    </row>
    <row r="5" spans="2:16" s="46" customFormat="1" ht="16.8" thickTop="1" thickBot="1">
      <c r="B5" s="108">
        <v>100</v>
      </c>
      <c r="C5" s="632" t="s">
        <v>76</v>
      </c>
      <c r="D5" s="633"/>
      <c r="E5" s="172">
        <f>E6+E8+E13</f>
        <v>5209041</v>
      </c>
      <c r="F5" s="172">
        <f>F6+F8+F13</f>
        <v>4997011</v>
      </c>
      <c r="G5" s="493">
        <f>G6+G8+G13</f>
        <v>5140983.68</v>
      </c>
      <c r="H5" s="493">
        <f>H6+H8+H13</f>
        <v>5807550.21</v>
      </c>
      <c r="I5" s="172">
        <f>I6+I8+I13</f>
        <v>5783670</v>
      </c>
      <c r="J5" s="348">
        <f>IF(I5=0,0,ROUND((H5/I5)*100,2))</f>
        <v>100.41</v>
      </c>
    </row>
    <row r="6" spans="2:16" s="45" customFormat="1" ht="14.4" thickBot="1">
      <c r="B6" s="103">
        <v>110</v>
      </c>
      <c r="C6" s="614" t="s">
        <v>77</v>
      </c>
      <c r="D6" s="615"/>
      <c r="E6" s="97">
        <f>E7</f>
        <v>4432132</v>
      </c>
      <c r="F6" s="97">
        <f>F7</f>
        <v>4175784</v>
      </c>
      <c r="G6" s="494">
        <f>G7</f>
        <v>4401458.42</v>
      </c>
      <c r="H6" s="494">
        <f>H7</f>
        <v>5016805.0999999996</v>
      </c>
      <c r="I6" s="97">
        <f>I7</f>
        <v>4992000</v>
      </c>
      <c r="J6" s="349">
        <f t="shared" ref="J6:J69" si="0">IF(I6=0,0,ROUND((H6/I6)*100,2))</f>
        <v>100.5</v>
      </c>
      <c r="L6" s="604"/>
    </row>
    <row r="7" spans="2:16" s="39" customFormat="1" ht="13.8" thickBot="1">
      <c r="B7" s="104"/>
      <c r="C7" s="38"/>
      <c r="D7" s="145" t="s">
        <v>110</v>
      </c>
      <c r="E7" s="327">
        <v>4432132</v>
      </c>
      <c r="F7" s="327">
        <v>4175784</v>
      </c>
      <c r="G7" s="492">
        <v>4401458.42</v>
      </c>
      <c r="H7" s="492">
        <v>5016805.0999999996</v>
      </c>
      <c r="I7" s="266">
        <v>4992000</v>
      </c>
      <c r="J7" s="350">
        <f t="shared" si="0"/>
        <v>100.5</v>
      </c>
      <c r="K7" s="47"/>
    </row>
    <row r="8" spans="2:16" s="45" customFormat="1" ht="14.4" thickBot="1">
      <c r="B8" s="105">
        <v>120</v>
      </c>
      <c r="C8" s="626" t="s">
        <v>114</v>
      </c>
      <c r="D8" s="627"/>
      <c r="E8" s="58">
        <f>E9</f>
        <v>460690</v>
      </c>
      <c r="F8" s="58">
        <f>F9</f>
        <v>388905</v>
      </c>
      <c r="G8" s="465">
        <f>G9</f>
        <v>335641.24</v>
      </c>
      <c r="H8" s="465">
        <f>H9</f>
        <v>396789.44</v>
      </c>
      <c r="I8" s="58">
        <f>I9</f>
        <v>392770</v>
      </c>
      <c r="J8" s="351">
        <f t="shared" si="0"/>
        <v>101.02</v>
      </c>
      <c r="L8" s="597"/>
      <c r="M8" s="597"/>
      <c r="N8" s="597"/>
      <c r="O8" s="597"/>
    </row>
    <row r="9" spans="2:16" s="282" customFormat="1" ht="13.8" thickBot="1">
      <c r="B9" s="640"/>
      <c r="C9" s="38">
        <v>121</v>
      </c>
      <c r="D9" s="146" t="s">
        <v>78</v>
      </c>
      <c r="E9" s="125">
        <f>SUM(E10:E12)</f>
        <v>460690</v>
      </c>
      <c r="F9" s="125">
        <f>SUM(F10:F12)</f>
        <v>388905</v>
      </c>
      <c r="G9" s="495">
        <f>SUM(G10:G12)</f>
        <v>335641.24</v>
      </c>
      <c r="H9" s="495">
        <f>SUM(H10:H12)</f>
        <v>396789.44</v>
      </c>
      <c r="I9" s="125">
        <f>SUM(I10:I12)</f>
        <v>392770</v>
      </c>
      <c r="J9" s="352">
        <f t="shared" si="0"/>
        <v>101.02</v>
      </c>
      <c r="M9" s="553"/>
      <c r="N9" s="553"/>
      <c r="O9" s="553"/>
      <c r="P9" s="553"/>
    </row>
    <row r="10" spans="2:16">
      <c r="B10" s="641"/>
      <c r="C10" s="623"/>
      <c r="D10" s="147" t="s">
        <v>111</v>
      </c>
      <c r="E10" s="156">
        <v>71840</v>
      </c>
      <c r="F10" s="156">
        <v>90890</v>
      </c>
      <c r="G10" s="491">
        <v>64647.11</v>
      </c>
      <c r="H10" s="491">
        <f>395530.34+1259.1</f>
        <v>396789.44</v>
      </c>
      <c r="I10" s="153">
        <v>86400</v>
      </c>
      <c r="J10" s="192">
        <f t="shared" si="0"/>
        <v>459.25</v>
      </c>
      <c r="M10" s="552"/>
      <c r="N10" s="552"/>
      <c r="O10" s="552"/>
      <c r="P10" s="552"/>
    </row>
    <row r="11" spans="2:16">
      <c r="B11" s="641"/>
      <c r="C11" s="624"/>
      <c r="D11" s="148" t="s">
        <v>112</v>
      </c>
      <c r="E11" s="160">
        <v>359760</v>
      </c>
      <c r="F11" s="160">
        <v>267120</v>
      </c>
      <c r="G11" s="550">
        <v>239509.09</v>
      </c>
      <c r="H11" s="550"/>
      <c r="I11" s="174">
        <v>279570</v>
      </c>
      <c r="J11" s="194">
        <f t="shared" si="0"/>
        <v>0</v>
      </c>
      <c r="M11" s="552"/>
      <c r="N11" s="552"/>
      <c r="O11" s="552"/>
      <c r="P11" s="552"/>
    </row>
    <row r="12" spans="2:16" ht="13.8" thickBot="1">
      <c r="B12" s="642"/>
      <c r="C12" s="634"/>
      <c r="D12" s="149" t="s">
        <v>113</v>
      </c>
      <c r="E12" s="328">
        <v>29090</v>
      </c>
      <c r="F12" s="328">
        <v>30895</v>
      </c>
      <c r="G12" s="551">
        <v>31485.040000000001</v>
      </c>
      <c r="H12" s="551"/>
      <c r="I12" s="175">
        <v>26800</v>
      </c>
      <c r="J12" s="353">
        <f t="shared" si="0"/>
        <v>0</v>
      </c>
      <c r="M12" s="552"/>
      <c r="N12" s="552"/>
      <c r="O12" s="552"/>
      <c r="P12" s="552"/>
    </row>
    <row r="13" spans="2:16" s="45" customFormat="1" ht="14.4" thickBot="1">
      <c r="B13" s="106">
        <v>130</v>
      </c>
      <c r="C13" s="626" t="s">
        <v>115</v>
      </c>
      <c r="D13" s="627"/>
      <c r="E13" s="58">
        <f>E14</f>
        <v>316219</v>
      </c>
      <c r="F13" s="58">
        <f>F14</f>
        <v>432322</v>
      </c>
      <c r="G13" s="465">
        <f>G14</f>
        <v>403884.02</v>
      </c>
      <c r="H13" s="465">
        <f>H14</f>
        <v>393955.67</v>
      </c>
      <c r="I13" s="58">
        <f>I14</f>
        <v>398900</v>
      </c>
      <c r="J13" s="351">
        <f t="shared" si="0"/>
        <v>98.76</v>
      </c>
    </row>
    <row r="14" spans="2:16" s="282" customFormat="1" ht="13.8" thickBot="1">
      <c r="B14" s="610"/>
      <c r="C14" s="48">
        <v>133</v>
      </c>
      <c r="D14" s="150" t="s">
        <v>79</v>
      </c>
      <c r="E14" s="50">
        <f>SUM(E15:E21)</f>
        <v>316219</v>
      </c>
      <c r="F14" s="50">
        <f>SUM(F15:F21)</f>
        <v>432322</v>
      </c>
      <c r="G14" s="496">
        <f>SUM(G15:G21)</f>
        <v>403884.02</v>
      </c>
      <c r="H14" s="496">
        <f>SUM(H15:H21)</f>
        <v>393955.67</v>
      </c>
      <c r="I14" s="50">
        <f>SUM(I15:I21)</f>
        <v>398900</v>
      </c>
      <c r="J14" s="354">
        <f t="shared" si="0"/>
        <v>98.76</v>
      </c>
      <c r="L14" s="552"/>
      <c r="M14" s="552"/>
      <c r="N14" s="552"/>
      <c r="O14" s="552"/>
    </row>
    <row r="15" spans="2:16">
      <c r="B15" s="611"/>
      <c r="C15" s="630"/>
      <c r="D15" s="51" t="s">
        <v>80</v>
      </c>
      <c r="E15" s="153">
        <v>7990</v>
      </c>
      <c r="F15" s="153">
        <v>9276</v>
      </c>
      <c r="G15" s="497">
        <v>9178.11</v>
      </c>
      <c r="H15" s="497">
        <v>9228.06</v>
      </c>
      <c r="I15" s="153">
        <v>8200</v>
      </c>
      <c r="J15" s="192">
        <f t="shared" si="0"/>
        <v>112.54</v>
      </c>
      <c r="L15" s="552"/>
      <c r="M15" s="552"/>
      <c r="N15" s="552"/>
      <c r="O15" s="552"/>
    </row>
    <row r="16" spans="2:16">
      <c r="B16" s="611"/>
      <c r="C16" s="631"/>
      <c r="D16" s="52" t="s">
        <v>81</v>
      </c>
      <c r="E16" s="174">
        <v>732</v>
      </c>
      <c r="F16" s="174">
        <v>749</v>
      </c>
      <c r="G16" s="498">
        <v>300</v>
      </c>
      <c r="H16" s="498">
        <v>300</v>
      </c>
      <c r="I16" s="174">
        <v>600</v>
      </c>
      <c r="J16" s="194">
        <f t="shared" si="0"/>
        <v>50</v>
      </c>
      <c r="L16" s="552"/>
      <c r="M16" s="552"/>
      <c r="N16" s="552"/>
      <c r="O16" s="552"/>
    </row>
    <row r="17" spans="2:18">
      <c r="B17" s="611"/>
      <c r="C17" s="631"/>
      <c r="D17" s="52" t="s">
        <v>82</v>
      </c>
      <c r="E17" s="174">
        <v>750</v>
      </c>
      <c r="F17" s="174">
        <v>725</v>
      </c>
      <c r="G17" s="498">
        <v>650</v>
      </c>
      <c r="H17" s="498">
        <v>679.15</v>
      </c>
      <c r="I17" s="174">
        <v>700</v>
      </c>
      <c r="J17" s="194">
        <f t="shared" si="0"/>
        <v>97.02</v>
      </c>
      <c r="L17" s="552"/>
      <c r="M17" s="552"/>
      <c r="N17" s="552"/>
      <c r="O17" s="552"/>
    </row>
    <row r="18" spans="2:18">
      <c r="B18" s="611"/>
      <c r="C18" s="631"/>
      <c r="D18" s="52" t="s">
        <v>83</v>
      </c>
      <c r="E18" s="174">
        <v>14430</v>
      </c>
      <c r="F18" s="174">
        <v>12793</v>
      </c>
      <c r="G18" s="498">
        <v>13503.5</v>
      </c>
      <c r="H18" s="498">
        <v>13052</v>
      </c>
      <c r="I18" s="174">
        <v>11500</v>
      </c>
      <c r="J18" s="194">
        <f t="shared" si="0"/>
        <v>113.5</v>
      </c>
      <c r="L18" s="552"/>
      <c r="M18" s="552"/>
      <c r="N18" s="552"/>
      <c r="O18" s="552"/>
    </row>
    <row r="19" spans="2:18">
      <c r="B19" s="611"/>
      <c r="C19" s="631"/>
      <c r="D19" s="52" t="s">
        <v>215</v>
      </c>
      <c r="E19" s="174">
        <v>31474</v>
      </c>
      <c r="F19" s="174">
        <v>37978</v>
      </c>
      <c r="G19" s="498">
        <v>32751.27</v>
      </c>
      <c r="H19" s="498">
        <f>8548.98+16447.2+4183.5</f>
        <v>29179.68</v>
      </c>
      <c r="I19" s="174">
        <v>31000</v>
      </c>
      <c r="J19" s="194">
        <f t="shared" si="0"/>
        <v>94.13</v>
      </c>
      <c r="L19" s="552"/>
      <c r="M19" s="552"/>
      <c r="N19" s="552"/>
      <c r="O19" s="552"/>
    </row>
    <row r="20" spans="2:18">
      <c r="B20" s="611"/>
      <c r="C20" s="631"/>
      <c r="D20" s="52" t="s">
        <v>84</v>
      </c>
      <c r="E20" s="174">
        <v>174176</v>
      </c>
      <c r="F20" s="174">
        <f>265321+3376</f>
        <v>268697</v>
      </c>
      <c r="G20" s="498">
        <f>239753.85+3252.41</f>
        <v>243006.26</v>
      </c>
      <c r="H20" s="498">
        <f>3228.43+237095.35</f>
        <v>240323.78</v>
      </c>
      <c r="I20" s="174">
        <v>239000</v>
      </c>
      <c r="J20" s="194">
        <f t="shared" si="0"/>
        <v>100.55</v>
      </c>
      <c r="L20" s="552"/>
      <c r="M20" s="552"/>
      <c r="N20" s="552"/>
      <c r="O20" s="552"/>
    </row>
    <row r="21" spans="2:18" ht="13.8" thickBot="1">
      <c r="B21" s="653"/>
      <c r="C21" s="635"/>
      <c r="D21" s="53" t="s">
        <v>85</v>
      </c>
      <c r="E21" s="154">
        <v>86667</v>
      </c>
      <c r="F21" s="154">
        <v>102104</v>
      </c>
      <c r="G21" s="499">
        <v>104494.88</v>
      </c>
      <c r="H21" s="499">
        <v>101193</v>
      </c>
      <c r="I21" s="154">
        <v>107900</v>
      </c>
      <c r="J21" s="355">
        <f t="shared" si="0"/>
        <v>93.78</v>
      </c>
      <c r="L21" s="552"/>
      <c r="M21" s="552"/>
      <c r="N21" s="552"/>
      <c r="O21" s="552"/>
      <c r="P21" s="552"/>
      <c r="Q21" s="552"/>
      <c r="R21" s="552"/>
    </row>
    <row r="22" spans="2:18" s="46" customFormat="1" ht="16.2" thickBot="1">
      <c r="B22" s="102">
        <v>200</v>
      </c>
      <c r="C22" s="638" t="s">
        <v>116</v>
      </c>
      <c r="D22" s="639"/>
      <c r="E22" s="98">
        <f>E23+E34+E52+E54</f>
        <v>1090799</v>
      </c>
      <c r="F22" s="98">
        <f>F23+F34+F52+F54</f>
        <v>1258962</v>
      </c>
      <c r="G22" s="500">
        <f>G23+G34+G52+G54</f>
        <v>1049268.01</v>
      </c>
      <c r="H22" s="500">
        <f>H23+H34+H52+H54</f>
        <v>1119583.28</v>
      </c>
      <c r="I22" s="98">
        <f>I23+I34+I52+I54</f>
        <v>932074</v>
      </c>
      <c r="J22" s="356">
        <f t="shared" si="0"/>
        <v>120.12</v>
      </c>
      <c r="K22" s="431"/>
      <c r="L22" s="520"/>
      <c r="N22" s="520"/>
    </row>
    <row r="23" spans="2:18" s="36" customFormat="1" ht="14.4" thickBot="1">
      <c r="B23" s="107">
        <v>210</v>
      </c>
      <c r="C23" s="614" t="s">
        <v>117</v>
      </c>
      <c r="D23" s="654"/>
      <c r="E23" s="99">
        <f>E24+E28</f>
        <v>560834</v>
      </c>
      <c r="F23" s="99">
        <f>F24+F28</f>
        <v>650004</v>
      </c>
      <c r="G23" s="501">
        <f>G24+G28</f>
        <v>379467.55</v>
      </c>
      <c r="H23" s="501">
        <f>H24+H28</f>
        <v>418308.61</v>
      </c>
      <c r="I23" s="99">
        <f>I24+I28</f>
        <v>430600</v>
      </c>
      <c r="J23" s="357">
        <f t="shared" si="0"/>
        <v>97.15</v>
      </c>
      <c r="M23" s="579"/>
    </row>
    <row r="24" spans="2:18" s="39" customFormat="1" ht="13.8" thickBot="1">
      <c r="B24" s="610" t="s">
        <v>86</v>
      </c>
      <c r="C24" s="38">
        <v>211</v>
      </c>
      <c r="D24" s="37" t="s">
        <v>117</v>
      </c>
      <c r="E24" s="50">
        <f>SUM(E25:E27)</f>
        <v>47000</v>
      </c>
      <c r="F24" s="50">
        <f>SUM(F25:F27)</f>
        <v>58181</v>
      </c>
      <c r="G24" s="496">
        <f>SUM(G25:G27)</f>
        <v>20000</v>
      </c>
      <c r="H24" s="496">
        <f>SUM(H25:H27)</f>
        <v>15000</v>
      </c>
      <c r="I24" s="50">
        <f>SUM(I25:I27)</f>
        <v>15000</v>
      </c>
      <c r="J24" s="354">
        <f t="shared" si="0"/>
        <v>100</v>
      </c>
    </row>
    <row r="25" spans="2:18" ht="12.75" hidden="1" customHeight="1">
      <c r="B25" s="611"/>
      <c r="C25" s="623"/>
      <c r="D25" s="40" t="s">
        <v>87</v>
      </c>
      <c r="E25" s="153"/>
      <c r="F25" s="153"/>
      <c r="G25" s="497"/>
      <c r="H25" s="497"/>
      <c r="I25" s="153"/>
      <c r="J25" s="192">
        <f t="shared" si="0"/>
        <v>0</v>
      </c>
    </row>
    <row r="26" spans="2:18" hidden="1">
      <c r="B26" s="611"/>
      <c r="C26" s="624"/>
      <c r="D26" s="42" t="s">
        <v>224</v>
      </c>
      <c r="E26" s="174"/>
      <c r="F26" s="174"/>
      <c r="G26" s="498"/>
      <c r="H26" s="498"/>
      <c r="I26" s="174"/>
      <c r="J26" s="194">
        <f t="shared" si="0"/>
        <v>0</v>
      </c>
    </row>
    <row r="27" spans="2:18" ht="13.8" thickBot="1">
      <c r="B27" s="611"/>
      <c r="C27" s="634"/>
      <c r="D27" s="44" t="s">
        <v>88</v>
      </c>
      <c r="E27" s="175">
        <v>47000</v>
      </c>
      <c r="F27" s="175">
        <v>58181</v>
      </c>
      <c r="G27" s="502">
        <v>20000</v>
      </c>
      <c r="H27" s="502">
        <v>15000</v>
      </c>
      <c r="I27" s="175">
        <v>15000</v>
      </c>
      <c r="J27" s="353">
        <f t="shared" si="0"/>
        <v>100</v>
      </c>
    </row>
    <row r="28" spans="2:18" ht="13.8" thickBot="1">
      <c r="B28" s="611"/>
      <c r="C28" s="1">
        <v>212</v>
      </c>
      <c r="D28" s="35" t="s">
        <v>89</v>
      </c>
      <c r="E28" s="2">
        <f>SUM(E29:E33)</f>
        <v>513834</v>
      </c>
      <c r="F28" s="2">
        <f>SUM(F29:F33)</f>
        <v>591823</v>
      </c>
      <c r="G28" s="503">
        <f>SUM(G29:G33)</f>
        <v>359467.55</v>
      </c>
      <c r="H28" s="503">
        <f>SUM(H29:H33)</f>
        <v>403308.61</v>
      </c>
      <c r="I28" s="2">
        <f>SUM(I29:I33)</f>
        <v>415600</v>
      </c>
      <c r="J28" s="190">
        <f t="shared" si="0"/>
        <v>97.04</v>
      </c>
    </row>
    <row r="29" spans="2:18">
      <c r="B29" s="611"/>
      <c r="C29" s="630"/>
      <c r="D29" s="40" t="s">
        <v>90</v>
      </c>
      <c r="E29" s="153">
        <v>324320</v>
      </c>
      <c r="F29" s="153">
        <v>401050</v>
      </c>
      <c r="G29" s="497">
        <f>135635.87+17.28+19.91</f>
        <v>135673.06</v>
      </c>
      <c r="H29" s="497">
        <v>134183.87</v>
      </c>
      <c r="I29" s="153">
        <v>133000</v>
      </c>
      <c r="J29" s="192">
        <f t="shared" si="0"/>
        <v>100.89</v>
      </c>
    </row>
    <row r="30" spans="2:18">
      <c r="B30" s="611"/>
      <c r="C30" s="631"/>
      <c r="D30" s="42" t="s">
        <v>91</v>
      </c>
      <c r="E30" s="174">
        <v>5150</v>
      </c>
      <c r="F30" s="174">
        <v>5043</v>
      </c>
      <c r="G30" s="498">
        <v>6242.35</v>
      </c>
      <c r="H30" s="498">
        <f>7116.96+957.88+1</f>
        <v>8075.84</v>
      </c>
      <c r="I30" s="174">
        <v>4300</v>
      </c>
      <c r="J30" s="194">
        <f t="shared" si="0"/>
        <v>187.81</v>
      </c>
    </row>
    <row r="31" spans="2:18">
      <c r="B31" s="611"/>
      <c r="C31" s="631"/>
      <c r="D31" s="132" t="s">
        <v>313</v>
      </c>
      <c r="E31" s="175"/>
      <c r="F31" s="132">
        <v>0</v>
      </c>
      <c r="G31" s="502">
        <v>41494.18</v>
      </c>
      <c r="H31" s="502">
        <v>46671.58</v>
      </c>
      <c r="I31" s="175">
        <v>44000</v>
      </c>
      <c r="J31" s="353">
        <f t="shared" si="0"/>
        <v>106.07</v>
      </c>
    </row>
    <row r="32" spans="2:18">
      <c r="B32" s="611"/>
      <c r="C32" s="631"/>
      <c r="D32" s="132" t="s">
        <v>217</v>
      </c>
      <c r="E32" s="175">
        <v>83511</v>
      </c>
      <c r="F32" s="132">
        <f>77287+178+128</f>
        <v>77593</v>
      </c>
      <c r="G32" s="502">
        <f>80594.28+60.42</f>
        <v>80654.7</v>
      </c>
      <c r="H32" s="502">
        <f>76946.33+178.66+69.4</f>
        <v>77194.39</v>
      </c>
      <c r="I32" s="175">
        <v>79405</v>
      </c>
      <c r="J32" s="353">
        <f t="shared" si="0"/>
        <v>97.22</v>
      </c>
    </row>
    <row r="33" spans="2:10" ht="13.8" thickBot="1">
      <c r="B33" s="653"/>
      <c r="C33" s="635"/>
      <c r="D33" s="44" t="s">
        <v>92</v>
      </c>
      <c r="E33" s="175">
        <v>100853</v>
      </c>
      <c r="F33" s="175">
        <v>108137</v>
      </c>
      <c r="G33" s="502">
        <v>95403.26</v>
      </c>
      <c r="H33" s="502">
        <v>137182.93</v>
      </c>
      <c r="I33" s="175">
        <v>154895</v>
      </c>
      <c r="J33" s="353">
        <f t="shared" si="0"/>
        <v>88.57</v>
      </c>
    </row>
    <row r="34" spans="2:10" s="36" customFormat="1" ht="14.4" thickBot="1">
      <c r="B34" s="106">
        <v>220</v>
      </c>
      <c r="C34" s="614" t="s">
        <v>93</v>
      </c>
      <c r="D34" s="654"/>
      <c r="E34" s="33">
        <f>E35+E39+E50</f>
        <v>471458</v>
      </c>
      <c r="F34" s="33">
        <f>F35+F39+F50</f>
        <v>514547</v>
      </c>
      <c r="G34" s="381">
        <f>G35+G39+G50</f>
        <v>595361.41999999993</v>
      </c>
      <c r="H34" s="381">
        <f>H35+H39+H50</f>
        <v>603358.30999999994</v>
      </c>
      <c r="I34" s="33">
        <f>I35+I39+I50</f>
        <v>435778</v>
      </c>
      <c r="J34" s="358">
        <f t="shared" si="0"/>
        <v>138.46</v>
      </c>
    </row>
    <row r="35" spans="2:10" s="39" customFormat="1" ht="13.5" customHeight="1" thickBot="1">
      <c r="B35" s="610"/>
      <c r="C35" s="1">
        <v>221</v>
      </c>
      <c r="D35" s="35" t="s">
        <v>118</v>
      </c>
      <c r="E35" s="2">
        <f>SUM(E36:E38)</f>
        <v>69092</v>
      </c>
      <c r="F35" s="2">
        <f>SUM(F36:F38)</f>
        <v>77127</v>
      </c>
      <c r="G35" s="503">
        <f>SUM(G36:G38)</f>
        <v>85540.68</v>
      </c>
      <c r="H35" s="503">
        <f>SUM(H36:H38)</f>
        <v>81456.3</v>
      </c>
      <c r="I35" s="2">
        <f>SUM(I36:I38)</f>
        <v>63331</v>
      </c>
      <c r="J35" s="190">
        <f t="shared" si="0"/>
        <v>128.62</v>
      </c>
    </row>
    <row r="36" spans="2:10" ht="12.75" customHeight="1">
      <c r="B36" s="651"/>
      <c r="C36" s="630"/>
      <c r="D36" s="51" t="s">
        <v>94</v>
      </c>
      <c r="E36" s="153">
        <v>48641</v>
      </c>
      <c r="F36" s="184">
        <v>58713</v>
      </c>
      <c r="G36" s="497">
        <f>66724.67-768.56</f>
        <v>65956.11</v>
      </c>
      <c r="H36" s="497">
        <f>54364.61-1339.48</f>
        <v>53025.13</v>
      </c>
      <c r="I36" s="153">
        <v>48641</v>
      </c>
      <c r="J36" s="192">
        <f t="shared" si="0"/>
        <v>109.01</v>
      </c>
    </row>
    <row r="37" spans="2:10" ht="12.75" customHeight="1">
      <c r="B37" s="651"/>
      <c r="C37" s="631"/>
      <c r="D37" s="184" t="s">
        <v>312</v>
      </c>
      <c r="E37" s="155"/>
      <c r="F37" s="144"/>
      <c r="G37" s="504">
        <v>768.56</v>
      </c>
      <c r="H37" s="504">
        <v>1339.48</v>
      </c>
      <c r="I37" s="155">
        <v>1500</v>
      </c>
      <c r="J37" s="193">
        <f t="shared" si="0"/>
        <v>89.3</v>
      </c>
    </row>
    <row r="38" spans="2:10" ht="13.5" customHeight="1" thickBot="1">
      <c r="B38" s="651"/>
      <c r="C38" s="635"/>
      <c r="D38" s="44" t="s">
        <v>324</v>
      </c>
      <c r="E38" s="175">
        <v>20451</v>
      </c>
      <c r="F38" s="132">
        <v>18414</v>
      </c>
      <c r="G38" s="502">
        <v>18816.009999999998</v>
      </c>
      <c r="H38" s="502">
        <v>27091.69</v>
      </c>
      <c r="I38" s="175">
        <v>13190</v>
      </c>
      <c r="J38" s="353">
        <f t="shared" si="0"/>
        <v>205.4</v>
      </c>
    </row>
    <row r="39" spans="2:10" ht="13.5" customHeight="1" thickBot="1">
      <c r="B39" s="651"/>
      <c r="C39" s="1">
        <v>223</v>
      </c>
      <c r="D39" s="1" t="s">
        <v>95</v>
      </c>
      <c r="E39" s="2">
        <f>SUM(E40:E49)</f>
        <v>400298</v>
      </c>
      <c r="F39" s="2">
        <f>SUM(F40:F49)</f>
        <v>434944</v>
      </c>
      <c r="G39" s="503">
        <f>SUM(G40:G49)</f>
        <v>507780.69999999995</v>
      </c>
      <c r="H39" s="503">
        <f>SUM(H40:H49)</f>
        <v>519757.41999999993</v>
      </c>
      <c r="I39" s="2">
        <f>SUM(I40:I49)</f>
        <v>370647</v>
      </c>
      <c r="J39" s="190">
        <f t="shared" si="0"/>
        <v>140.22999999999999</v>
      </c>
    </row>
    <row r="40" spans="2:10" ht="12.75" customHeight="1">
      <c r="B40" s="651"/>
      <c r="C40" s="630"/>
      <c r="D40" s="40" t="s">
        <v>96</v>
      </c>
      <c r="E40" s="153">
        <v>19573</v>
      </c>
      <c r="F40" s="153">
        <v>20641</v>
      </c>
      <c r="G40" s="497">
        <v>20552.5</v>
      </c>
      <c r="H40" s="497">
        <v>20532.330000000002</v>
      </c>
      <c r="I40" s="153">
        <v>15000</v>
      </c>
      <c r="J40" s="192">
        <f t="shared" si="0"/>
        <v>136.88</v>
      </c>
    </row>
    <row r="41" spans="2:10" ht="12.75" customHeight="1">
      <c r="B41" s="651"/>
      <c r="C41" s="631"/>
      <c r="D41" s="184" t="s">
        <v>282</v>
      </c>
      <c r="E41" s="153">
        <v>3900</v>
      </c>
      <c r="F41" s="153">
        <v>5000</v>
      </c>
      <c r="G41" s="497">
        <v>4100</v>
      </c>
      <c r="H41" s="497">
        <v>15650</v>
      </c>
      <c r="I41" s="153">
        <v>12650</v>
      </c>
      <c r="J41" s="192">
        <f t="shared" si="0"/>
        <v>123.72</v>
      </c>
    </row>
    <row r="42" spans="2:10" ht="12.75" hidden="1" customHeight="1">
      <c r="B42" s="651"/>
      <c r="C42" s="631"/>
      <c r="D42" s="184" t="s">
        <v>341</v>
      </c>
      <c r="E42" s="153"/>
      <c r="F42" s="153"/>
      <c r="G42" s="497"/>
      <c r="H42" s="497"/>
      <c r="I42" s="153">
        <v>0</v>
      </c>
      <c r="J42" s="192">
        <f t="shared" si="0"/>
        <v>0</v>
      </c>
    </row>
    <row r="43" spans="2:10" ht="12.75" customHeight="1">
      <c r="B43" s="651"/>
      <c r="C43" s="631"/>
      <c r="D43" s="42" t="s">
        <v>97</v>
      </c>
      <c r="E43" s="174">
        <v>27058</v>
      </c>
      <c r="F43" s="174">
        <f>18432+1749</f>
        <v>20181</v>
      </c>
      <c r="G43" s="498">
        <v>31759</v>
      </c>
      <c r="H43" s="498">
        <v>31403.35</v>
      </c>
      <c r="I43" s="174">
        <v>19000</v>
      </c>
      <c r="J43" s="194">
        <f t="shared" si="0"/>
        <v>165.28</v>
      </c>
    </row>
    <row r="44" spans="2:10" ht="12.75" customHeight="1">
      <c r="B44" s="651"/>
      <c r="C44" s="631"/>
      <c r="D44" s="42" t="s">
        <v>98</v>
      </c>
      <c r="E44" s="174">
        <v>29035</v>
      </c>
      <c r="F44" s="174">
        <v>28418</v>
      </c>
      <c r="G44" s="498">
        <f>20267.02</f>
        <v>20267.02</v>
      </c>
      <c r="H44" s="498">
        <f>19043.35+633.83</f>
        <v>19677.18</v>
      </c>
      <c r="I44" s="174">
        <v>20000</v>
      </c>
      <c r="J44" s="194">
        <f t="shared" si="0"/>
        <v>98.39</v>
      </c>
    </row>
    <row r="45" spans="2:10" ht="12.75" customHeight="1">
      <c r="B45" s="651"/>
      <c r="C45" s="631"/>
      <c r="D45" s="42" t="s">
        <v>99</v>
      </c>
      <c r="E45" s="174">
        <v>15462</v>
      </c>
      <c r="F45" s="174">
        <v>15205</v>
      </c>
      <c r="G45" s="498">
        <f>17771.7+56</f>
        <v>17827.7</v>
      </c>
      <c r="H45" s="498">
        <f>16811.4+62.5</f>
        <v>16873.900000000001</v>
      </c>
      <c r="I45" s="174">
        <v>16930</v>
      </c>
      <c r="J45" s="194">
        <f t="shared" si="0"/>
        <v>99.67</v>
      </c>
    </row>
    <row r="46" spans="2:10" ht="12.75" customHeight="1">
      <c r="B46" s="651"/>
      <c r="C46" s="631"/>
      <c r="D46" s="132" t="s">
        <v>237</v>
      </c>
      <c r="E46" s="175">
        <v>127040</v>
      </c>
      <c r="F46" s="175">
        <f>149434+40</f>
        <v>149474</v>
      </c>
      <c r="G46" s="502">
        <v>154903.56</v>
      </c>
      <c r="H46" s="502">
        <f>162134.36+1055.54-0.33</f>
        <v>163189.57</v>
      </c>
      <c r="I46" s="175">
        <v>120000</v>
      </c>
      <c r="J46" s="353">
        <f t="shared" si="0"/>
        <v>135.99</v>
      </c>
    </row>
    <row r="47" spans="2:10" ht="12.75" customHeight="1">
      <c r="B47" s="651"/>
      <c r="C47" s="631"/>
      <c r="D47" s="132" t="s">
        <v>238</v>
      </c>
      <c r="E47" s="175">
        <v>44729</v>
      </c>
      <c r="F47" s="175">
        <v>51770</v>
      </c>
      <c r="G47" s="502">
        <v>49600.39</v>
      </c>
      <c r="H47" s="502">
        <f>47731.22+105+166.6+1000</f>
        <v>49002.82</v>
      </c>
      <c r="I47" s="175">
        <v>74000</v>
      </c>
      <c r="J47" s="353">
        <f t="shared" si="0"/>
        <v>66.22</v>
      </c>
    </row>
    <row r="48" spans="2:10" ht="12.75" customHeight="1">
      <c r="B48" s="651"/>
      <c r="C48" s="631"/>
      <c r="D48" s="132" t="s">
        <v>343</v>
      </c>
      <c r="E48" s="175"/>
      <c r="F48" s="175">
        <f>3286+114</f>
        <v>3400</v>
      </c>
      <c r="G48" s="502">
        <f>517.26+243.5</f>
        <v>760.76</v>
      </c>
      <c r="H48" s="502"/>
      <c r="I48" s="175"/>
      <c r="J48" s="353">
        <f t="shared" si="0"/>
        <v>0</v>
      </c>
    </row>
    <row r="49" spans="2:12" ht="13.5" customHeight="1" thickBot="1">
      <c r="B49" s="651"/>
      <c r="C49" s="631"/>
      <c r="D49" s="132" t="s">
        <v>100</v>
      </c>
      <c r="E49" s="175">
        <v>133501</v>
      </c>
      <c r="F49" s="175">
        <f>60+137299+3496</f>
        <v>140855</v>
      </c>
      <c r="G49" s="502">
        <v>208009.77</v>
      </c>
      <c r="H49" s="502">
        <f>70+203358.27</f>
        <v>203428.27</v>
      </c>
      <c r="I49" s="175">
        <v>93067</v>
      </c>
      <c r="J49" s="353">
        <f t="shared" si="0"/>
        <v>218.58</v>
      </c>
    </row>
    <row r="50" spans="2:12" ht="13.5" customHeight="1" thickBot="1">
      <c r="B50" s="651"/>
      <c r="C50" s="1">
        <v>229</v>
      </c>
      <c r="D50" s="1" t="s">
        <v>101</v>
      </c>
      <c r="E50" s="2">
        <f>E51</f>
        <v>2068</v>
      </c>
      <c r="F50" s="2">
        <f>F51</f>
        <v>2476</v>
      </c>
      <c r="G50" s="503">
        <f>G51</f>
        <v>2040.04</v>
      </c>
      <c r="H50" s="503">
        <f>H51</f>
        <v>2144.59</v>
      </c>
      <c r="I50" s="2">
        <f>I51</f>
        <v>1800</v>
      </c>
      <c r="J50" s="190">
        <f t="shared" si="0"/>
        <v>119.14</v>
      </c>
    </row>
    <row r="51" spans="2:12" ht="13.5" customHeight="1" thickBot="1">
      <c r="B51" s="652"/>
      <c r="C51" s="261"/>
      <c r="D51" s="261" t="s">
        <v>102</v>
      </c>
      <c r="E51" s="224">
        <v>2068</v>
      </c>
      <c r="F51" s="298">
        <v>2476</v>
      </c>
      <c r="G51" s="505">
        <v>2040.04</v>
      </c>
      <c r="H51" s="505">
        <v>2144.59</v>
      </c>
      <c r="I51" s="224">
        <v>1800</v>
      </c>
      <c r="J51" s="359">
        <f t="shared" si="0"/>
        <v>119.14</v>
      </c>
    </row>
    <row r="52" spans="2:12" s="36" customFormat="1" ht="16.5" customHeight="1" thickBot="1">
      <c r="B52" s="105">
        <v>240</v>
      </c>
      <c r="C52" s="628" t="s">
        <v>103</v>
      </c>
      <c r="D52" s="629"/>
      <c r="E52" s="63">
        <f>SUM(E53:E53)</f>
        <v>3352</v>
      </c>
      <c r="F52" s="63">
        <f>SUM(F53:F53)</f>
        <v>1988</v>
      </c>
      <c r="G52" s="473">
        <f>SUM(G53:G53)</f>
        <v>1226.92</v>
      </c>
      <c r="H52" s="473">
        <f>SUM(H53:H53)</f>
        <v>445.87</v>
      </c>
      <c r="I52" s="63">
        <f>SUM(I53:I53)</f>
        <v>0</v>
      </c>
      <c r="J52" s="360">
        <f t="shared" si="0"/>
        <v>0</v>
      </c>
    </row>
    <row r="53" spans="2:12" ht="13.5" customHeight="1" thickBot="1">
      <c r="B53" s="130"/>
      <c r="C53" s="131"/>
      <c r="D53" s="123" t="s">
        <v>104</v>
      </c>
      <c r="E53" s="268">
        <v>3352</v>
      </c>
      <c r="F53" s="268">
        <v>1988</v>
      </c>
      <c r="G53" s="506">
        <v>1226.92</v>
      </c>
      <c r="H53" s="506">
        <v>445.87</v>
      </c>
      <c r="I53" s="268"/>
      <c r="J53" s="361">
        <f t="shared" si="0"/>
        <v>0</v>
      </c>
    </row>
    <row r="54" spans="2:12" s="45" customFormat="1" ht="14.4" thickBot="1">
      <c r="B54" s="105">
        <v>290</v>
      </c>
      <c r="C54" s="626" t="s">
        <v>105</v>
      </c>
      <c r="D54" s="627"/>
      <c r="E54" s="100">
        <f>E55</f>
        <v>55155</v>
      </c>
      <c r="F54" s="100">
        <f>F55</f>
        <v>92423</v>
      </c>
      <c r="G54" s="507">
        <f>G55</f>
        <v>73212.12000000001</v>
      </c>
      <c r="H54" s="507">
        <f>H55</f>
        <v>97470.49</v>
      </c>
      <c r="I54" s="100">
        <f>I55</f>
        <v>65696</v>
      </c>
      <c r="J54" s="362">
        <f t="shared" si="0"/>
        <v>148.37</v>
      </c>
    </row>
    <row r="55" spans="2:12" ht="13.8" thickBot="1">
      <c r="B55" s="610"/>
      <c r="C55" s="35">
        <v>292</v>
      </c>
      <c r="D55" s="35" t="s">
        <v>105</v>
      </c>
      <c r="E55" s="2">
        <f>SUM(E56:E59)</f>
        <v>55155</v>
      </c>
      <c r="F55" s="2">
        <f>SUM(F56:F59)</f>
        <v>92423</v>
      </c>
      <c r="G55" s="503">
        <f>SUM(G56:G59)</f>
        <v>73212.12000000001</v>
      </c>
      <c r="H55" s="503">
        <f>SUM(H56:H59)</f>
        <v>97470.49</v>
      </c>
      <c r="I55" s="2">
        <f>SUM(I56:I59)</f>
        <v>65696</v>
      </c>
      <c r="J55" s="190">
        <f t="shared" si="0"/>
        <v>148.37</v>
      </c>
    </row>
    <row r="56" spans="2:12">
      <c r="B56" s="611"/>
      <c r="C56" s="623"/>
      <c r="D56" s="54" t="s">
        <v>229</v>
      </c>
      <c r="E56" s="156">
        <v>19300</v>
      </c>
      <c r="F56" s="175">
        <v>29700</v>
      </c>
      <c r="G56" s="491">
        <v>27700</v>
      </c>
      <c r="H56" s="491">
        <v>46500</v>
      </c>
      <c r="I56" s="153">
        <v>37996</v>
      </c>
      <c r="J56" s="192">
        <f t="shared" si="0"/>
        <v>122.38</v>
      </c>
      <c r="L56" s="514"/>
    </row>
    <row r="57" spans="2:12">
      <c r="B57" s="611"/>
      <c r="C57" s="624"/>
      <c r="D57" s="56" t="s">
        <v>309</v>
      </c>
      <c r="E57" s="156">
        <v>14000</v>
      </c>
      <c r="F57" s="175">
        <v>2888</v>
      </c>
      <c r="G57" s="491">
        <v>313.32</v>
      </c>
      <c r="H57" s="491">
        <v>6641.91</v>
      </c>
      <c r="I57" s="153">
        <v>0</v>
      </c>
      <c r="J57" s="192">
        <f t="shared" si="0"/>
        <v>0</v>
      </c>
    </row>
    <row r="58" spans="2:12">
      <c r="B58" s="611"/>
      <c r="C58" s="624"/>
      <c r="D58" s="56" t="s">
        <v>105</v>
      </c>
      <c r="E58" s="156">
        <v>19147</v>
      </c>
      <c r="F58" s="175">
        <f>16091+34106+2444+185+641+2733+114-32+43+286+668</f>
        <v>57279</v>
      </c>
      <c r="G58" s="491">
        <v>42730.559999999998</v>
      </c>
      <c r="H58" s="491">
        <f>27684.48+2200.69+12415.47</f>
        <v>42300.639999999999</v>
      </c>
      <c r="I58" s="153">
        <v>25500</v>
      </c>
      <c r="J58" s="192">
        <f t="shared" si="0"/>
        <v>165.88</v>
      </c>
    </row>
    <row r="59" spans="2:12" ht="13.8" thickBot="1">
      <c r="B59" s="612"/>
      <c r="C59" s="625"/>
      <c r="D59" s="229" t="s">
        <v>106</v>
      </c>
      <c r="E59" s="269">
        <v>2708</v>
      </c>
      <c r="F59" s="605">
        <v>2556</v>
      </c>
      <c r="G59" s="508">
        <v>2468.2399999999998</v>
      </c>
      <c r="H59" s="508">
        <v>2027.94</v>
      </c>
      <c r="I59" s="269">
        <v>2200</v>
      </c>
      <c r="J59" s="363">
        <f t="shared" si="0"/>
        <v>92.18</v>
      </c>
    </row>
    <row r="60" spans="2:12" s="55" customFormat="1" ht="16.8" thickTop="1" thickBot="1">
      <c r="B60" s="230">
        <v>300</v>
      </c>
      <c r="C60" s="621" t="s">
        <v>119</v>
      </c>
      <c r="D60" s="622"/>
      <c r="E60" s="231">
        <f>E61+E104</f>
        <v>2901991</v>
      </c>
      <c r="F60" s="231">
        <f>F61+F104</f>
        <v>3466649</v>
      </c>
      <c r="G60" s="509">
        <f>G61+G104</f>
        <v>3450076.5500000003</v>
      </c>
      <c r="H60" s="509">
        <f>H61+H104</f>
        <v>3251492.52</v>
      </c>
      <c r="I60" s="231">
        <f>I61+I104</f>
        <v>3207761</v>
      </c>
      <c r="J60" s="364">
        <f t="shared" si="0"/>
        <v>101.36</v>
      </c>
      <c r="K60" s="432"/>
    </row>
    <row r="61" spans="2:12" ht="14.4" thickBot="1">
      <c r="B61" s="106">
        <v>310</v>
      </c>
      <c r="C61" s="614" t="s">
        <v>120</v>
      </c>
      <c r="D61" s="615"/>
      <c r="E61" s="33">
        <f>E62+E64</f>
        <v>2862933</v>
      </c>
      <c r="F61" s="33">
        <f>F62+F64</f>
        <v>3457133</v>
      </c>
      <c r="G61" s="381">
        <f>G62+G64</f>
        <v>3450076.5500000003</v>
      </c>
      <c r="H61" s="381">
        <f>H62+H64</f>
        <v>3251492.52</v>
      </c>
      <c r="I61" s="33">
        <f>I62+I64</f>
        <v>3207761</v>
      </c>
      <c r="J61" s="358">
        <f t="shared" si="0"/>
        <v>101.36</v>
      </c>
    </row>
    <row r="62" spans="2:12" ht="13.8" thickBot="1">
      <c r="B62" s="610"/>
      <c r="C62" s="4">
        <v>311</v>
      </c>
      <c r="D62" s="1" t="s">
        <v>121</v>
      </c>
      <c r="E62" s="267">
        <f>E63</f>
        <v>19287</v>
      </c>
      <c r="F62" s="267">
        <f>F63</f>
        <v>18260</v>
      </c>
      <c r="G62" s="510">
        <f>G63</f>
        <v>700</v>
      </c>
      <c r="H62" s="510">
        <f>H63</f>
        <v>4100</v>
      </c>
      <c r="I62" s="510">
        <f>I63</f>
        <v>3980</v>
      </c>
      <c r="J62" s="352">
        <f t="shared" si="0"/>
        <v>103.02</v>
      </c>
    </row>
    <row r="63" spans="2:12" ht="13.8" thickBot="1">
      <c r="B63" s="611"/>
      <c r="C63" s="74"/>
      <c r="D63" s="51" t="s">
        <v>239</v>
      </c>
      <c r="E63" s="153">
        <v>19287</v>
      </c>
      <c r="F63" s="153">
        <v>18260</v>
      </c>
      <c r="G63" s="497">
        <v>700</v>
      </c>
      <c r="H63" s="497">
        <f>3980+120</f>
        <v>4100</v>
      </c>
      <c r="I63" s="153">
        <v>3980</v>
      </c>
      <c r="J63" s="192">
        <f t="shared" si="0"/>
        <v>103.02</v>
      </c>
    </row>
    <row r="64" spans="2:12" ht="13.8" thickBot="1">
      <c r="B64" s="611"/>
      <c r="C64" s="38">
        <v>312</v>
      </c>
      <c r="D64" s="38" t="s">
        <v>122</v>
      </c>
      <c r="E64" s="50">
        <f>SUM(E65:E103)</f>
        <v>2843646</v>
      </c>
      <c r="F64" s="50">
        <f>SUM(F65:F103)</f>
        <v>3438873</v>
      </c>
      <c r="G64" s="496">
        <f>SUM(G65:G103)</f>
        <v>3449376.5500000003</v>
      </c>
      <c r="H64" s="496">
        <f>SUM(H65:H103)</f>
        <v>3247392.52</v>
      </c>
      <c r="I64" s="50">
        <f>SUM(I65:I103)</f>
        <v>3203781</v>
      </c>
      <c r="J64" s="354">
        <f t="shared" si="0"/>
        <v>101.36</v>
      </c>
      <c r="L64" s="514"/>
    </row>
    <row r="65" spans="2:13">
      <c r="B65" s="611"/>
      <c r="C65" s="619"/>
      <c r="D65" s="51" t="s">
        <v>171</v>
      </c>
      <c r="E65" s="41">
        <v>17245</v>
      </c>
      <c r="F65" s="41">
        <v>10901</v>
      </c>
      <c r="G65" s="511">
        <v>11158.85</v>
      </c>
      <c r="H65" s="511">
        <v>11477.1</v>
      </c>
      <c r="I65" s="41">
        <v>11477</v>
      </c>
      <c r="J65" s="365">
        <f t="shared" si="0"/>
        <v>100</v>
      </c>
      <c r="M65" s="514"/>
    </row>
    <row r="66" spans="2:13">
      <c r="B66" s="611"/>
      <c r="C66" s="620"/>
      <c r="D66" s="52" t="s">
        <v>172</v>
      </c>
      <c r="E66" s="43">
        <v>2219230</v>
      </c>
      <c r="F66" s="43">
        <v>2305975</v>
      </c>
      <c r="G66" s="512">
        <v>2374727</v>
      </c>
      <c r="H66" s="512">
        <v>2385302.7000000002</v>
      </c>
      <c r="I66" s="43">
        <v>2385304</v>
      </c>
      <c r="J66" s="194">
        <f t="shared" si="0"/>
        <v>100</v>
      </c>
    </row>
    <row r="67" spans="2:13">
      <c r="B67" s="611"/>
      <c r="C67" s="620"/>
      <c r="D67" s="52" t="s">
        <v>173</v>
      </c>
      <c r="E67" s="43">
        <v>18084</v>
      </c>
      <c r="F67" s="43">
        <v>17994</v>
      </c>
      <c r="G67" s="512">
        <v>18008.52</v>
      </c>
      <c r="H67" s="512">
        <v>18041.07</v>
      </c>
      <c r="I67" s="43">
        <v>18041</v>
      </c>
      <c r="J67" s="194">
        <f t="shared" si="0"/>
        <v>100</v>
      </c>
    </row>
    <row r="68" spans="2:13">
      <c r="B68" s="611"/>
      <c r="C68" s="620"/>
      <c r="D68" s="52" t="s">
        <v>174</v>
      </c>
      <c r="E68" s="43">
        <v>25124</v>
      </c>
      <c r="F68" s="43">
        <v>25564</v>
      </c>
      <c r="G68" s="512">
        <v>26022</v>
      </c>
      <c r="H68" s="512">
        <v>26310</v>
      </c>
      <c r="I68" s="43">
        <v>26310</v>
      </c>
      <c r="J68" s="194">
        <f t="shared" si="0"/>
        <v>100</v>
      </c>
    </row>
    <row r="69" spans="2:13">
      <c r="B69" s="611"/>
      <c r="C69" s="620"/>
      <c r="D69" s="52" t="s">
        <v>175</v>
      </c>
      <c r="E69" s="43">
        <v>7075</v>
      </c>
      <c r="F69" s="43">
        <v>7128</v>
      </c>
      <c r="G69" s="512">
        <v>7141.61</v>
      </c>
      <c r="H69" s="512">
        <v>7157.02</v>
      </c>
      <c r="I69" s="43">
        <v>7157</v>
      </c>
      <c r="J69" s="194">
        <f t="shared" si="0"/>
        <v>100</v>
      </c>
    </row>
    <row r="70" spans="2:13">
      <c r="B70" s="611"/>
      <c r="C70" s="620"/>
      <c r="D70" s="52" t="s">
        <v>176</v>
      </c>
      <c r="E70" s="43">
        <v>10551</v>
      </c>
      <c r="F70" s="43">
        <v>6336</v>
      </c>
      <c r="G70" s="512">
        <v>5427.66</v>
      </c>
      <c r="H70" s="512">
        <f>4327.68</f>
        <v>4327.68</v>
      </c>
      <c r="I70" s="43">
        <v>7000</v>
      </c>
      <c r="J70" s="194">
        <f t="shared" ref="J70:J107" si="1">IF(I70=0,0,ROUND((H70/I70)*100,2))</f>
        <v>61.82</v>
      </c>
    </row>
    <row r="71" spans="2:13">
      <c r="B71" s="611"/>
      <c r="C71" s="620"/>
      <c r="D71" s="52" t="s">
        <v>177</v>
      </c>
      <c r="E71" s="43">
        <v>97555</v>
      </c>
      <c r="F71" s="43">
        <v>85709</v>
      </c>
      <c r="G71" s="512">
        <v>73418.710000000006</v>
      </c>
      <c r="H71" s="512">
        <v>58497.09</v>
      </c>
      <c r="I71" s="43">
        <v>53393</v>
      </c>
      <c r="J71" s="194">
        <f t="shared" si="1"/>
        <v>109.56</v>
      </c>
    </row>
    <row r="72" spans="2:13" s="39" customFormat="1">
      <c r="B72" s="611"/>
      <c r="C72" s="620"/>
      <c r="D72" s="52" t="s">
        <v>178</v>
      </c>
      <c r="E72" s="43">
        <v>22043</v>
      </c>
      <c r="F72" s="43">
        <f>1699+18018</f>
        <v>19717</v>
      </c>
      <c r="G72" s="512">
        <f>1814.93+320.27+13576.61+13076.68+245.05</f>
        <v>29033.54</v>
      </c>
      <c r="H72" s="512">
        <f>5270.2+7334.11+1718.91+303.34+ 491.35+691.35+4335.26+4811.53+1033.72</f>
        <v>25989.77</v>
      </c>
      <c r="I72" s="43">
        <v>56442</v>
      </c>
      <c r="J72" s="194">
        <f t="shared" si="1"/>
        <v>46.05</v>
      </c>
    </row>
    <row r="73" spans="2:13">
      <c r="B73" s="611"/>
      <c r="C73" s="620"/>
      <c r="D73" s="52" t="s">
        <v>206</v>
      </c>
      <c r="E73" s="43">
        <v>1008</v>
      </c>
      <c r="F73" s="43">
        <v>995</v>
      </c>
      <c r="G73" s="512">
        <v>836.54</v>
      </c>
      <c r="H73" s="512">
        <v>838.04</v>
      </c>
      <c r="I73" s="43">
        <v>838</v>
      </c>
      <c r="J73" s="194">
        <f t="shared" si="1"/>
        <v>100</v>
      </c>
    </row>
    <row r="74" spans="2:13">
      <c r="B74" s="611"/>
      <c r="C74" s="620"/>
      <c r="D74" s="52" t="s">
        <v>200</v>
      </c>
      <c r="E74" s="43">
        <v>1415</v>
      </c>
      <c r="F74" s="43">
        <v>1362</v>
      </c>
      <c r="G74" s="512">
        <v>1386.9</v>
      </c>
      <c r="H74" s="512">
        <v>1388.19</v>
      </c>
      <c r="I74" s="43">
        <v>1388</v>
      </c>
      <c r="J74" s="194">
        <f t="shared" si="1"/>
        <v>100.01</v>
      </c>
    </row>
    <row r="75" spans="2:13">
      <c r="B75" s="611"/>
      <c r="C75" s="620"/>
      <c r="D75" s="52" t="s">
        <v>246</v>
      </c>
      <c r="E75" s="43">
        <v>26998</v>
      </c>
      <c r="F75" s="43">
        <v>72974</v>
      </c>
      <c r="G75" s="512">
        <v>59711.85</v>
      </c>
      <c r="H75" s="512">
        <f>3375.92+85268.16</f>
        <v>88644.08</v>
      </c>
      <c r="I75" s="43">
        <v>85654</v>
      </c>
      <c r="J75" s="194">
        <f t="shared" si="1"/>
        <v>103.49</v>
      </c>
    </row>
    <row r="76" spans="2:13">
      <c r="B76" s="611"/>
      <c r="C76" s="620"/>
      <c r="D76" s="52" t="s">
        <v>198</v>
      </c>
      <c r="E76" s="43">
        <v>4921</v>
      </c>
      <c r="F76" s="43">
        <v>4883</v>
      </c>
      <c r="G76" s="512">
        <v>4883.67</v>
      </c>
      <c r="H76" s="512">
        <v>4892.91</v>
      </c>
      <c r="I76" s="43">
        <v>4893</v>
      </c>
      <c r="J76" s="194">
        <f t="shared" si="1"/>
        <v>100</v>
      </c>
    </row>
    <row r="77" spans="2:13">
      <c r="B77" s="611"/>
      <c r="C77" s="620"/>
      <c r="D77" s="52" t="s">
        <v>248</v>
      </c>
      <c r="E77" s="43">
        <v>4305</v>
      </c>
      <c r="F77" s="43">
        <v>4445</v>
      </c>
      <c r="G77" s="512">
        <v>4634.95</v>
      </c>
      <c r="H77" s="512">
        <v>5001.3599999999997</v>
      </c>
      <c r="I77" s="43">
        <v>5001</v>
      </c>
      <c r="J77" s="194">
        <f t="shared" si="1"/>
        <v>100.01</v>
      </c>
    </row>
    <row r="78" spans="2:13">
      <c r="B78" s="611"/>
      <c r="C78" s="620"/>
      <c r="D78" s="52" t="s">
        <v>249</v>
      </c>
      <c r="E78" s="43">
        <v>20215</v>
      </c>
      <c r="F78" s="43">
        <f>2614+9370+2952+12392</f>
        <v>27328</v>
      </c>
      <c r="G78" s="512">
        <f>11521.47+7323.86</f>
        <v>18845.329999999998</v>
      </c>
      <c r="H78" s="512">
        <f>21863.1+3256.92</f>
        <v>25120.019999999997</v>
      </c>
      <c r="I78" s="43">
        <v>21257</v>
      </c>
      <c r="J78" s="194">
        <f t="shared" si="1"/>
        <v>118.17</v>
      </c>
    </row>
    <row r="79" spans="2:13">
      <c r="B79" s="611"/>
      <c r="C79" s="620"/>
      <c r="D79" s="52" t="s">
        <v>328</v>
      </c>
      <c r="E79" s="174"/>
      <c r="F79" s="174"/>
      <c r="G79" s="498">
        <f>1989.45+3186.24+796.56+4547.06</f>
        <v>10519.310000000001</v>
      </c>
      <c r="H79" s="498"/>
      <c r="I79" s="174"/>
      <c r="J79" s="194">
        <f t="shared" si="1"/>
        <v>0</v>
      </c>
    </row>
    <row r="80" spans="2:13">
      <c r="B80" s="611"/>
      <c r="C80" s="620"/>
      <c r="D80" s="42" t="s">
        <v>362</v>
      </c>
      <c r="E80" s="174"/>
      <c r="F80" s="174"/>
      <c r="G80" s="498"/>
      <c r="H80" s="498">
        <f>22077.92+597.42+17376+11848+8080.45</f>
        <v>59979.789999999994</v>
      </c>
      <c r="I80" s="174">
        <v>39706</v>
      </c>
      <c r="J80" s="194">
        <f t="shared" si="1"/>
        <v>151.06</v>
      </c>
    </row>
    <row r="81" spans="2:10">
      <c r="B81" s="611"/>
      <c r="C81" s="620"/>
      <c r="D81" s="42" t="s">
        <v>357</v>
      </c>
      <c r="E81" s="174"/>
      <c r="F81" s="174"/>
      <c r="G81" s="498"/>
      <c r="H81" s="498">
        <f>10905.58+1924.54+16843.97+2972.12+55841.31+9854.36+5836.88+1030.04</f>
        <v>105208.79999999999</v>
      </c>
      <c r="I81" s="174">
        <v>96981</v>
      </c>
      <c r="J81" s="194">
        <f t="shared" si="1"/>
        <v>108.48</v>
      </c>
    </row>
    <row r="82" spans="2:10">
      <c r="B82" s="611"/>
      <c r="C82" s="620"/>
      <c r="D82" s="42" t="s">
        <v>302</v>
      </c>
      <c r="E82" s="174"/>
      <c r="F82" s="174">
        <v>11061</v>
      </c>
      <c r="G82" s="498"/>
      <c r="H82" s="498"/>
      <c r="I82" s="174"/>
      <c r="J82" s="194">
        <f t="shared" si="1"/>
        <v>0</v>
      </c>
    </row>
    <row r="83" spans="2:10">
      <c r="B83" s="611"/>
      <c r="C83" s="620"/>
      <c r="D83" s="52" t="s">
        <v>250</v>
      </c>
      <c r="E83" s="174">
        <v>60031</v>
      </c>
      <c r="F83" s="174"/>
      <c r="G83" s="498"/>
      <c r="H83" s="498"/>
      <c r="I83" s="174"/>
      <c r="J83" s="194">
        <f t="shared" si="1"/>
        <v>0</v>
      </c>
    </row>
    <row r="84" spans="2:10">
      <c r="B84" s="611"/>
      <c r="C84" s="620"/>
      <c r="D84" s="52" t="s">
        <v>276</v>
      </c>
      <c r="E84" s="174">
        <v>40000</v>
      </c>
      <c r="F84" s="174"/>
      <c r="G84" s="498"/>
      <c r="H84" s="498"/>
      <c r="I84" s="174"/>
      <c r="J84" s="194">
        <f t="shared" si="1"/>
        <v>0</v>
      </c>
    </row>
    <row r="85" spans="2:10">
      <c r="B85" s="611"/>
      <c r="C85" s="620"/>
      <c r="D85" s="52" t="s">
        <v>293</v>
      </c>
      <c r="E85" s="43">
        <v>85385</v>
      </c>
      <c r="F85" s="43">
        <v>389162</v>
      </c>
      <c r="G85" s="512">
        <f>57123.52+25400+335184.96</f>
        <v>417708.48</v>
      </c>
      <c r="H85" s="512">
        <f>49956.48+21945.6+226229.27</f>
        <v>298131.34999999998</v>
      </c>
      <c r="I85" s="43">
        <v>263900</v>
      </c>
      <c r="J85" s="194">
        <f t="shared" si="1"/>
        <v>112.97</v>
      </c>
    </row>
    <row r="86" spans="2:10">
      <c r="B86" s="611"/>
      <c r="C86" s="620"/>
      <c r="D86" s="52" t="s">
        <v>323</v>
      </c>
      <c r="E86" s="174"/>
      <c r="F86" s="174">
        <v>6226</v>
      </c>
      <c r="G86" s="498">
        <v>6495.58</v>
      </c>
      <c r="H86" s="498">
        <v>4887.04</v>
      </c>
      <c r="I86" s="174">
        <v>5000</v>
      </c>
      <c r="J86" s="194">
        <f t="shared" si="1"/>
        <v>97.74</v>
      </c>
    </row>
    <row r="87" spans="2:10">
      <c r="B87" s="611"/>
      <c r="C87" s="620"/>
      <c r="D87" s="52" t="s">
        <v>301</v>
      </c>
      <c r="E87" s="174">
        <v>4595</v>
      </c>
      <c r="F87" s="174">
        <v>1120</v>
      </c>
      <c r="G87" s="498"/>
      <c r="H87" s="498"/>
      <c r="I87" s="174"/>
      <c r="J87" s="194">
        <f t="shared" si="1"/>
        <v>0</v>
      </c>
    </row>
    <row r="88" spans="2:10">
      <c r="B88" s="611"/>
      <c r="C88" s="620"/>
      <c r="D88" s="52" t="s">
        <v>306</v>
      </c>
      <c r="E88" s="174"/>
      <c r="F88" s="174">
        <v>73802</v>
      </c>
      <c r="G88" s="498"/>
      <c r="H88" s="498"/>
      <c r="I88" s="174"/>
      <c r="J88" s="194">
        <f t="shared" si="1"/>
        <v>0</v>
      </c>
    </row>
    <row r="89" spans="2:10">
      <c r="B89" s="611"/>
      <c r="C89" s="620"/>
      <c r="D89" s="52" t="s">
        <v>274</v>
      </c>
      <c r="E89" s="174">
        <v>18000</v>
      </c>
      <c r="F89" s="174"/>
      <c r="G89" s="498"/>
      <c r="H89" s="498"/>
      <c r="I89" s="174"/>
      <c r="J89" s="194">
        <f t="shared" si="1"/>
        <v>0</v>
      </c>
    </row>
    <row r="90" spans="2:10">
      <c r="B90" s="611"/>
      <c r="C90" s="620"/>
      <c r="D90" s="15" t="s">
        <v>315</v>
      </c>
      <c r="E90" s="16"/>
      <c r="F90" s="16">
        <v>38668</v>
      </c>
      <c r="G90" s="461">
        <v>44192.28</v>
      </c>
      <c r="H90" s="461"/>
      <c r="I90" s="207"/>
      <c r="J90" s="366">
        <f t="shared" si="1"/>
        <v>0</v>
      </c>
    </row>
    <row r="91" spans="2:10">
      <c r="B91" s="611"/>
      <c r="C91" s="620"/>
      <c r="D91" s="52" t="s">
        <v>292</v>
      </c>
      <c r="E91" s="174"/>
      <c r="F91" s="174">
        <v>303277</v>
      </c>
      <c r="G91" s="498"/>
      <c r="H91" s="498"/>
      <c r="I91" s="174"/>
      <c r="J91" s="194">
        <f t="shared" si="1"/>
        <v>0</v>
      </c>
    </row>
    <row r="92" spans="2:10">
      <c r="B92" s="611"/>
      <c r="C92" s="620"/>
      <c r="D92" s="52" t="s">
        <v>339</v>
      </c>
      <c r="E92" s="174">
        <v>100000</v>
      </c>
      <c r="F92" s="174"/>
      <c r="G92" s="498"/>
      <c r="H92" s="498"/>
      <c r="I92" s="174"/>
      <c r="J92" s="194">
        <f t="shared" si="1"/>
        <v>0</v>
      </c>
    </row>
    <row r="93" spans="2:10">
      <c r="B93" s="611"/>
      <c r="C93" s="620"/>
      <c r="D93" s="52" t="s">
        <v>346</v>
      </c>
      <c r="E93" s="174"/>
      <c r="F93" s="174"/>
      <c r="G93" s="498">
        <v>35000</v>
      </c>
      <c r="H93" s="498"/>
      <c r="I93" s="174"/>
      <c r="J93" s="194">
        <f t="shared" si="1"/>
        <v>0</v>
      </c>
    </row>
    <row r="94" spans="2:10">
      <c r="B94" s="611"/>
      <c r="C94" s="620"/>
      <c r="D94" s="52" t="s">
        <v>243</v>
      </c>
      <c r="E94" s="174"/>
      <c r="F94" s="174"/>
      <c r="G94" s="498">
        <v>149100</v>
      </c>
      <c r="H94" s="498"/>
      <c r="I94" s="174"/>
      <c r="J94" s="194">
        <f t="shared" si="1"/>
        <v>0</v>
      </c>
    </row>
    <row r="95" spans="2:10">
      <c r="B95" s="611"/>
      <c r="C95" s="620"/>
      <c r="D95" s="52" t="s">
        <v>347</v>
      </c>
      <c r="E95" s="174"/>
      <c r="F95" s="174"/>
      <c r="G95" s="498">
        <v>5343</v>
      </c>
      <c r="H95" s="498"/>
      <c r="I95" s="174"/>
      <c r="J95" s="194">
        <f t="shared" si="1"/>
        <v>0</v>
      </c>
    </row>
    <row r="96" spans="2:10">
      <c r="B96" s="611"/>
      <c r="C96" s="620"/>
      <c r="D96" s="52" t="s">
        <v>342</v>
      </c>
      <c r="E96" s="174"/>
      <c r="F96" s="174">
        <v>18145</v>
      </c>
      <c r="G96" s="498"/>
      <c r="H96" s="498"/>
      <c r="I96" s="174"/>
      <c r="J96" s="194">
        <f t="shared" si="1"/>
        <v>0</v>
      </c>
    </row>
    <row r="97" spans="2:12">
      <c r="B97" s="611"/>
      <c r="C97" s="620"/>
      <c r="D97" s="62" t="s">
        <v>348</v>
      </c>
      <c r="E97" s="175"/>
      <c r="F97" s="175"/>
      <c r="G97" s="502">
        <v>55733.86</v>
      </c>
      <c r="H97" s="502"/>
      <c r="I97" s="174"/>
      <c r="J97" s="194">
        <f t="shared" si="1"/>
        <v>0</v>
      </c>
    </row>
    <row r="98" spans="2:12">
      <c r="B98" s="611"/>
      <c r="C98" s="620"/>
      <c r="D98" s="62" t="s">
        <v>347</v>
      </c>
      <c r="E98" s="175"/>
      <c r="F98" s="175"/>
      <c r="G98" s="502"/>
      <c r="H98" s="502">
        <v>4039</v>
      </c>
      <c r="I98" s="174">
        <v>4039</v>
      </c>
      <c r="J98" s="194">
        <f t="shared" si="1"/>
        <v>100</v>
      </c>
    </row>
    <row r="99" spans="2:12">
      <c r="B99" s="611"/>
      <c r="C99" s="620"/>
      <c r="D99" s="62" t="s">
        <v>349</v>
      </c>
      <c r="E99" s="175"/>
      <c r="F99" s="175"/>
      <c r="G99" s="502">
        <v>11550</v>
      </c>
      <c r="H99" s="502"/>
      <c r="I99" s="174"/>
      <c r="J99" s="194">
        <f t="shared" si="1"/>
        <v>0</v>
      </c>
    </row>
    <row r="100" spans="2:12">
      <c r="B100" s="611"/>
      <c r="C100" s="620"/>
      <c r="D100" s="62" t="s">
        <v>339</v>
      </c>
      <c r="E100" s="175"/>
      <c r="F100" s="175"/>
      <c r="G100" s="502"/>
      <c r="H100" s="502">
        <v>108000</v>
      </c>
      <c r="I100" s="174">
        <v>108000</v>
      </c>
      <c r="J100" s="194">
        <f t="shared" si="1"/>
        <v>100</v>
      </c>
    </row>
    <row r="101" spans="2:12">
      <c r="B101" s="611"/>
      <c r="C101" s="620"/>
      <c r="D101" s="62" t="s">
        <v>351</v>
      </c>
      <c r="E101" s="175"/>
      <c r="F101" s="175"/>
      <c r="G101" s="502">
        <v>8227.5</v>
      </c>
      <c r="H101" s="502"/>
      <c r="I101" s="174"/>
      <c r="J101" s="194">
        <f t="shared" si="1"/>
        <v>0</v>
      </c>
    </row>
    <row r="102" spans="2:12">
      <c r="B102" s="611"/>
      <c r="C102" s="620"/>
      <c r="D102" s="62" t="s">
        <v>280</v>
      </c>
      <c r="E102" s="175"/>
      <c r="F102" s="175"/>
      <c r="G102" s="502">
        <v>42431.14</v>
      </c>
      <c r="H102" s="502">
        <v>4125.6099999999997</v>
      </c>
      <c r="I102" s="174"/>
      <c r="J102" s="194">
        <f t="shared" si="1"/>
        <v>0</v>
      </c>
    </row>
    <row r="103" spans="2:12" ht="13.8" thickBot="1">
      <c r="B103" s="611"/>
      <c r="C103" s="620"/>
      <c r="D103" s="53" t="s">
        <v>310</v>
      </c>
      <c r="E103" s="175">
        <v>59866</v>
      </c>
      <c r="F103" s="175">
        <v>6101</v>
      </c>
      <c r="G103" s="502">
        <f>26554.3+1283.97</f>
        <v>27838.27</v>
      </c>
      <c r="H103" s="502">
        <v>33.9</v>
      </c>
      <c r="I103" s="174">
        <v>2000</v>
      </c>
      <c r="J103" s="194">
        <f t="shared" si="1"/>
        <v>1.7</v>
      </c>
    </row>
    <row r="104" spans="2:12" s="45" customFormat="1" ht="14.4" thickBot="1">
      <c r="B104" s="106">
        <v>330</v>
      </c>
      <c r="C104" s="614" t="s">
        <v>107</v>
      </c>
      <c r="D104" s="615"/>
      <c r="E104" s="33">
        <f>E105</f>
        <v>39058</v>
      </c>
      <c r="F104" s="33">
        <f>F105</f>
        <v>9516</v>
      </c>
      <c r="G104" s="381">
        <f>G105</f>
        <v>0</v>
      </c>
      <c r="H104" s="381">
        <f>H105</f>
        <v>0</v>
      </c>
      <c r="I104" s="33">
        <f>I105</f>
        <v>0</v>
      </c>
      <c r="J104" s="358">
        <f t="shared" si="1"/>
        <v>0</v>
      </c>
    </row>
    <row r="105" spans="2:12" s="282" customFormat="1" ht="13.8" thickBot="1">
      <c r="B105" s="610"/>
      <c r="C105" s="1">
        <v>331</v>
      </c>
      <c r="D105" s="35" t="s">
        <v>123</v>
      </c>
      <c r="E105" s="152">
        <f>E106</f>
        <v>39058</v>
      </c>
      <c r="F105" s="152">
        <f>F106</f>
        <v>9516</v>
      </c>
      <c r="G105" s="513">
        <f>G106</f>
        <v>0</v>
      </c>
      <c r="H105" s="513">
        <f>H106</f>
        <v>0</v>
      </c>
      <c r="I105" s="152"/>
      <c r="J105" s="190">
        <f t="shared" si="1"/>
        <v>0</v>
      </c>
    </row>
    <row r="106" spans="2:12" ht="13.8" thickBot="1">
      <c r="B106" s="611"/>
      <c r="C106" s="74"/>
      <c r="D106" s="78" t="s">
        <v>301</v>
      </c>
      <c r="E106" s="155">
        <v>39058</v>
      </c>
      <c r="F106" s="155">
        <v>9516</v>
      </c>
      <c r="G106" s="504"/>
      <c r="H106" s="504"/>
      <c r="I106" s="155"/>
      <c r="J106" s="193">
        <f t="shared" si="1"/>
        <v>0</v>
      </c>
    </row>
    <row r="107" spans="2:12" s="46" customFormat="1" ht="16.8" thickTop="1" thickBot="1">
      <c r="B107" s="616" t="s">
        <v>108</v>
      </c>
      <c r="C107" s="617"/>
      <c r="D107" s="618"/>
      <c r="E107" s="72">
        <f>E5+E22+E60</f>
        <v>9201831</v>
      </c>
      <c r="F107" s="72">
        <f>F5+F22+F60</f>
        <v>9722622</v>
      </c>
      <c r="G107" s="459">
        <f>G5+G22+G60</f>
        <v>9640328.2400000002</v>
      </c>
      <c r="H107" s="459">
        <f>H5+H22+H60</f>
        <v>10178626.01</v>
      </c>
      <c r="I107" s="72">
        <f>I5+I22+I60</f>
        <v>9923505</v>
      </c>
      <c r="J107" s="367">
        <f t="shared" si="1"/>
        <v>102.57</v>
      </c>
      <c r="L107" s="520"/>
    </row>
    <row r="108" spans="2:12" ht="13.8" thickTop="1"/>
    <row r="109" spans="2:12">
      <c r="B109" s="613"/>
      <c r="C109" s="613"/>
      <c r="D109" s="613"/>
      <c r="E109" s="283"/>
      <c r="F109" s="283"/>
      <c r="G109" s="283"/>
      <c r="H109" s="283"/>
    </row>
    <row r="110" spans="2:12">
      <c r="C110" s="283"/>
      <c r="D110" s="283"/>
      <c r="E110" s="338"/>
      <c r="F110" s="283"/>
      <c r="G110" s="283"/>
      <c r="H110" s="283"/>
    </row>
    <row r="111" spans="2:12">
      <c r="C111" s="283"/>
      <c r="D111" s="283"/>
      <c r="E111" s="283"/>
      <c r="F111" s="283"/>
      <c r="G111" s="283"/>
      <c r="H111" s="283"/>
    </row>
    <row r="112" spans="2:12">
      <c r="C112" s="283"/>
      <c r="D112" s="283"/>
      <c r="E112" s="283"/>
      <c r="F112" s="283"/>
      <c r="G112" s="283"/>
      <c r="H112" s="283"/>
    </row>
    <row r="113" spans="3:8">
      <c r="C113" s="283"/>
      <c r="D113" s="283"/>
      <c r="E113" s="283"/>
      <c r="F113" s="283"/>
      <c r="G113" s="283"/>
      <c r="H113" s="283"/>
    </row>
    <row r="114" spans="3:8">
      <c r="C114" s="283"/>
      <c r="D114" s="283"/>
      <c r="E114" s="283"/>
      <c r="F114" s="283"/>
      <c r="G114" s="283"/>
      <c r="H114" s="283"/>
    </row>
    <row r="115" spans="3:8">
      <c r="C115" s="283"/>
      <c r="D115" s="283"/>
      <c r="E115" s="283"/>
      <c r="F115" s="283"/>
      <c r="G115" s="283"/>
      <c r="H115" s="283"/>
    </row>
    <row r="116" spans="3:8">
      <c r="C116" s="283"/>
      <c r="D116" s="283"/>
      <c r="E116" s="283"/>
      <c r="F116" s="283"/>
      <c r="G116" s="283"/>
      <c r="H116" s="283"/>
    </row>
    <row r="117" spans="3:8">
      <c r="C117" s="283"/>
      <c r="D117" s="283"/>
      <c r="E117" s="283"/>
      <c r="F117" s="283"/>
      <c r="G117" s="283"/>
      <c r="H117" s="283"/>
    </row>
    <row r="118" spans="3:8">
      <c r="C118" s="283"/>
      <c r="D118" s="283"/>
      <c r="E118" s="283"/>
      <c r="F118" s="283"/>
      <c r="G118" s="283"/>
      <c r="H118" s="283"/>
    </row>
    <row r="119" spans="3:8">
      <c r="C119" s="283"/>
      <c r="D119" s="283"/>
      <c r="E119" s="283"/>
      <c r="F119" s="283"/>
      <c r="G119" s="283"/>
      <c r="H119" s="283"/>
    </row>
    <row r="120" spans="3:8">
      <c r="C120" s="283"/>
      <c r="D120" s="283"/>
      <c r="E120" s="283"/>
      <c r="F120" s="283"/>
      <c r="G120" s="283"/>
      <c r="H120" s="283"/>
    </row>
    <row r="121" spans="3:8">
      <c r="C121" s="283"/>
      <c r="D121" s="283"/>
      <c r="E121" s="283"/>
      <c r="F121" s="283"/>
      <c r="G121" s="283"/>
      <c r="H121" s="283"/>
    </row>
    <row r="122" spans="3:8">
      <c r="C122" s="283"/>
      <c r="D122" s="283"/>
      <c r="E122" s="283"/>
      <c r="F122" s="283"/>
      <c r="G122" s="283"/>
      <c r="H122" s="283"/>
    </row>
    <row r="123" spans="3:8">
      <c r="C123" s="283"/>
      <c r="D123" s="283"/>
      <c r="E123" s="283"/>
      <c r="F123" s="283"/>
      <c r="G123" s="283"/>
      <c r="H123" s="283"/>
    </row>
    <row r="124" spans="3:8">
      <c r="C124" s="283"/>
      <c r="D124" s="283"/>
      <c r="E124" s="283"/>
      <c r="F124" s="283"/>
      <c r="G124" s="283"/>
      <c r="H124" s="283"/>
    </row>
    <row r="125" spans="3:8">
      <c r="C125" s="283"/>
      <c r="D125" s="283"/>
      <c r="E125" s="283"/>
      <c r="F125" s="283"/>
      <c r="G125" s="283"/>
      <c r="H125" s="283"/>
    </row>
    <row r="126" spans="3:8">
      <c r="C126" s="283"/>
      <c r="D126" s="283"/>
      <c r="E126" s="283"/>
      <c r="F126" s="283"/>
      <c r="G126" s="283"/>
      <c r="H126" s="283"/>
    </row>
    <row r="127" spans="3:8">
      <c r="C127" s="283"/>
      <c r="D127" s="283"/>
      <c r="E127" s="283"/>
      <c r="F127" s="283"/>
      <c r="G127" s="283"/>
      <c r="H127" s="283"/>
    </row>
    <row r="128" spans="3:8">
      <c r="C128" s="283"/>
      <c r="D128" s="283"/>
      <c r="E128" s="283"/>
      <c r="F128" s="283"/>
      <c r="G128" s="283"/>
      <c r="H128" s="283"/>
    </row>
    <row r="129" spans="3:8">
      <c r="C129" s="283"/>
      <c r="D129" s="283"/>
      <c r="E129" s="283"/>
      <c r="F129" s="283"/>
      <c r="G129" s="283"/>
      <c r="H129" s="283"/>
    </row>
    <row r="130" spans="3:8">
      <c r="C130" s="283"/>
      <c r="D130" s="283"/>
      <c r="E130" s="283"/>
      <c r="F130" s="283"/>
      <c r="G130" s="283"/>
      <c r="H130" s="283"/>
    </row>
    <row r="131" spans="3:8">
      <c r="C131" s="283"/>
      <c r="D131" s="283"/>
      <c r="E131" s="283"/>
      <c r="F131" s="283"/>
      <c r="G131" s="283"/>
      <c r="H131" s="283"/>
    </row>
    <row r="132" spans="3:8">
      <c r="C132" s="283"/>
      <c r="D132" s="283"/>
      <c r="E132" s="283"/>
      <c r="F132" s="283"/>
      <c r="G132" s="283"/>
      <c r="H132" s="283"/>
    </row>
    <row r="133" spans="3:8">
      <c r="C133" s="283"/>
      <c r="D133" s="283"/>
      <c r="E133" s="283"/>
      <c r="F133" s="283"/>
      <c r="G133" s="283"/>
      <c r="H133" s="283"/>
    </row>
    <row r="134" spans="3:8">
      <c r="C134" s="283"/>
      <c r="D134" s="283"/>
      <c r="E134" s="283"/>
      <c r="F134" s="283"/>
      <c r="G134" s="283"/>
      <c r="H134" s="283"/>
    </row>
    <row r="135" spans="3:8">
      <c r="C135" s="283"/>
      <c r="D135" s="283"/>
      <c r="E135" s="283"/>
      <c r="F135" s="283"/>
      <c r="G135" s="283"/>
      <c r="H135" s="283"/>
    </row>
    <row r="136" spans="3:8">
      <c r="C136" s="283"/>
      <c r="D136" s="283"/>
      <c r="E136" s="283"/>
      <c r="F136" s="283"/>
      <c r="G136" s="283"/>
      <c r="H136" s="283"/>
    </row>
    <row r="137" spans="3:8">
      <c r="C137" s="283"/>
      <c r="D137" s="283"/>
      <c r="E137" s="283"/>
      <c r="F137" s="283"/>
      <c r="G137" s="283"/>
      <c r="H137" s="283"/>
    </row>
    <row r="138" spans="3:8">
      <c r="C138" s="283"/>
      <c r="D138" s="283"/>
      <c r="E138" s="283"/>
      <c r="F138" s="283"/>
      <c r="G138" s="283"/>
      <c r="H138" s="283"/>
    </row>
    <row r="139" spans="3:8">
      <c r="C139" s="283"/>
      <c r="D139" s="283"/>
      <c r="E139" s="283"/>
      <c r="F139" s="283"/>
      <c r="G139" s="283"/>
      <c r="H139" s="283"/>
    </row>
    <row r="140" spans="3:8">
      <c r="C140" s="283"/>
      <c r="D140" s="283"/>
      <c r="E140" s="283"/>
      <c r="F140" s="283"/>
      <c r="G140" s="283"/>
      <c r="H140" s="283"/>
    </row>
    <row r="141" spans="3:8">
      <c r="C141" s="283"/>
      <c r="D141" s="283"/>
      <c r="E141" s="283"/>
      <c r="F141" s="283"/>
      <c r="G141" s="283"/>
      <c r="H141" s="283"/>
    </row>
    <row r="142" spans="3:8">
      <c r="C142" s="283"/>
      <c r="D142" s="283"/>
      <c r="E142" s="283"/>
      <c r="F142" s="283"/>
      <c r="G142" s="283"/>
      <c r="H142" s="283"/>
    </row>
    <row r="143" spans="3:8">
      <c r="C143" s="283"/>
      <c r="D143" s="283"/>
      <c r="E143" s="283"/>
      <c r="F143" s="283"/>
      <c r="G143" s="283"/>
      <c r="H143" s="283"/>
    </row>
    <row r="146" spans="9:9">
      <c r="I146" s="203"/>
    </row>
    <row r="165" spans="2:9">
      <c r="B165" s="284"/>
      <c r="C165" s="285"/>
      <c r="D165" s="285"/>
      <c r="E165" s="285"/>
      <c r="F165" s="285"/>
      <c r="G165" s="285"/>
      <c r="H165" s="285"/>
      <c r="I165" s="204"/>
    </row>
  </sheetData>
  <mergeCells count="40">
    <mergeCell ref="B35:B51"/>
    <mergeCell ref="B14:B21"/>
    <mergeCell ref="C23:D23"/>
    <mergeCell ref="B24:B33"/>
    <mergeCell ref="C34:D34"/>
    <mergeCell ref="C25:C27"/>
    <mergeCell ref="C29:C33"/>
    <mergeCell ref="C36:C38"/>
    <mergeCell ref="B2:J2"/>
    <mergeCell ref="B1:J1"/>
    <mergeCell ref="C22:D22"/>
    <mergeCell ref="B9:B12"/>
    <mergeCell ref="C6:D6"/>
    <mergeCell ref="H3:H4"/>
    <mergeCell ref="G3:G4"/>
    <mergeCell ref="J3:J4"/>
    <mergeCell ref="B3:B4"/>
    <mergeCell ref="I3:I4"/>
    <mergeCell ref="C3:C4"/>
    <mergeCell ref="D3:D4"/>
    <mergeCell ref="F3:F4"/>
    <mergeCell ref="E3:E4"/>
    <mergeCell ref="C54:D54"/>
    <mergeCell ref="C52:D52"/>
    <mergeCell ref="C40:C49"/>
    <mergeCell ref="C5:D5"/>
    <mergeCell ref="C10:C12"/>
    <mergeCell ref="C8:D8"/>
    <mergeCell ref="C13:D13"/>
    <mergeCell ref="C15:C21"/>
    <mergeCell ref="B55:B59"/>
    <mergeCell ref="B109:D109"/>
    <mergeCell ref="C61:D61"/>
    <mergeCell ref="B107:D107"/>
    <mergeCell ref="B105:B106"/>
    <mergeCell ref="C65:C103"/>
    <mergeCell ref="B62:B103"/>
    <mergeCell ref="C104:D104"/>
    <mergeCell ref="C60:D60"/>
    <mergeCell ref="C56:C59"/>
  </mergeCells>
  <phoneticPr fontId="6" type="noConversion"/>
  <pageMargins left="0.16" right="0.12" top="0.62" bottom="0.16" header="0.46" footer="0.16"/>
  <pageSetup paperSize="9" scale="76" orientation="portrait" horizontalDpi="4294967293" r:id="rId1"/>
  <headerFooter alignWithMargins="0"/>
  <rowBreaks count="1" manualBreakCount="1">
    <brk id="59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Hárok2" enableFormatConditionsCalculation="0">
    <tabColor indexed="11"/>
  </sheetPr>
  <dimension ref="A1:P200"/>
  <sheetViews>
    <sheetView showGridLines="0" topLeftCell="B148" workbookViewId="0">
      <selection activeCell="H86" sqref="H86"/>
    </sheetView>
  </sheetViews>
  <sheetFormatPr defaultColWidth="9.109375" defaultRowHeight="13.2"/>
  <cols>
    <col min="1" max="1" width="1.5546875" style="114" hidden="1" customWidth="1"/>
    <col min="2" max="2" width="9.33203125" style="114" customWidth="1"/>
    <col min="3" max="3" width="8.6640625" style="208" customWidth="1"/>
    <col min="4" max="4" width="21.5546875" style="114" customWidth="1"/>
    <col min="5" max="6" width="12.88671875" style="114" customWidth="1"/>
    <col min="7" max="7" width="15.109375" style="114" customWidth="1"/>
    <col min="8" max="8" width="15" style="114" customWidth="1"/>
    <col min="9" max="9" width="14" style="205" customWidth="1"/>
    <col min="10" max="10" width="8.88671875" style="114" customWidth="1"/>
    <col min="11" max="11" width="9.109375" style="114"/>
    <col min="12" max="13" width="11.6640625" style="114" bestFit="1" customWidth="1"/>
    <col min="14" max="14" width="12.88671875" style="114" customWidth="1"/>
    <col min="15" max="15" width="10.109375" style="114" bestFit="1" customWidth="1"/>
    <col min="16" max="16" width="11.6640625" style="114" bestFit="1" customWidth="1"/>
    <col min="17" max="16384" width="9.109375" style="114"/>
  </cols>
  <sheetData>
    <row r="1" spans="2:10" ht="13.8" thickBot="1">
      <c r="B1" s="666" t="s">
        <v>0</v>
      </c>
      <c r="C1" s="666"/>
      <c r="D1" s="666"/>
      <c r="E1" s="217"/>
      <c r="F1" s="217"/>
      <c r="G1" s="217"/>
      <c r="H1" s="217"/>
      <c r="I1" s="217"/>
    </row>
    <row r="2" spans="2:10" ht="13.5" customHeight="1" thickTop="1">
      <c r="B2" s="667" t="s">
        <v>58</v>
      </c>
      <c r="C2" s="669" t="s">
        <v>59</v>
      </c>
      <c r="D2" s="671" t="s">
        <v>60</v>
      </c>
      <c r="E2" s="643" t="s">
        <v>333</v>
      </c>
      <c r="F2" s="643" t="s">
        <v>332</v>
      </c>
      <c r="G2" s="643" t="s">
        <v>345</v>
      </c>
      <c r="H2" s="643" t="s">
        <v>359</v>
      </c>
      <c r="I2" s="643" t="s">
        <v>360</v>
      </c>
      <c r="J2" s="645" t="s">
        <v>344</v>
      </c>
    </row>
    <row r="3" spans="2:10" ht="31.5" customHeight="1" thickBot="1">
      <c r="B3" s="668"/>
      <c r="C3" s="670"/>
      <c r="D3" s="672"/>
      <c r="E3" s="644"/>
      <c r="F3" s="644"/>
      <c r="G3" s="644"/>
      <c r="H3" s="644"/>
      <c r="I3" s="644"/>
      <c r="J3" s="646"/>
    </row>
    <row r="4" spans="2:10" ht="15.75" customHeight="1" thickTop="1" thickBot="1">
      <c r="B4" s="94" t="s">
        <v>62</v>
      </c>
      <c r="C4" s="664" t="s">
        <v>1</v>
      </c>
      <c r="D4" s="665"/>
      <c r="E4" s="95">
        <f>SUM(E5:E8)</f>
        <v>971730</v>
      </c>
      <c r="F4" s="95">
        <f>SUM(F5:F8)</f>
        <v>883614</v>
      </c>
      <c r="G4" s="448">
        <f>SUM(G5:G8)</f>
        <v>976223.29</v>
      </c>
      <c r="H4" s="448">
        <f>SUM(H5:H8)</f>
        <v>957107.49</v>
      </c>
      <c r="I4" s="95">
        <f>SUM(I5:I8)</f>
        <v>989351</v>
      </c>
      <c r="J4" s="387">
        <f t="shared" ref="J4:J35" si="0">IF(I4=0,0,ROUND((H4/I4)*100,2))</f>
        <v>96.74</v>
      </c>
    </row>
    <row r="5" spans="2:10">
      <c r="B5" s="655"/>
      <c r="C5" s="232">
        <v>610</v>
      </c>
      <c r="D5" s="13" t="s">
        <v>2</v>
      </c>
      <c r="E5" s="13">
        <v>465252</v>
      </c>
      <c r="F5" s="13">
        <v>431649</v>
      </c>
      <c r="G5" s="449">
        <v>437364.06</v>
      </c>
      <c r="H5" s="449">
        <v>454979.56</v>
      </c>
      <c r="I5" s="14">
        <v>466847</v>
      </c>
      <c r="J5" s="388">
        <f t="shared" si="0"/>
        <v>97.46</v>
      </c>
    </row>
    <row r="6" spans="2:10">
      <c r="B6" s="656"/>
      <c r="C6" s="233">
        <v>620</v>
      </c>
      <c r="D6" s="15" t="s">
        <v>3</v>
      </c>
      <c r="E6" s="15">
        <v>179953</v>
      </c>
      <c r="F6" s="15">
        <v>175243</v>
      </c>
      <c r="G6" s="450">
        <v>178000.1</v>
      </c>
      <c r="H6" s="450">
        <v>174131.76</v>
      </c>
      <c r="I6" s="16">
        <v>183716</v>
      </c>
      <c r="J6" s="389">
        <f t="shared" si="0"/>
        <v>94.78</v>
      </c>
    </row>
    <row r="7" spans="2:10">
      <c r="B7" s="656"/>
      <c r="C7" s="233">
        <v>630</v>
      </c>
      <c r="D7" s="15" t="s">
        <v>61</v>
      </c>
      <c r="E7" s="15">
        <v>302729</v>
      </c>
      <c r="F7" s="15">
        <v>273797</v>
      </c>
      <c r="G7" s="450">
        <v>356359.19</v>
      </c>
      <c r="H7" s="450">
        <v>297179.95</v>
      </c>
      <c r="I7" s="16">
        <v>313165</v>
      </c>
      <c r="J7" s="389">
        <f t="shared" si="0"/>
        <v>94.9</v>
      </c>
    </row>
    <row r="8" spans="2:10" ht="13.8" thickBot="1">
      <c r="B8" s="660"/>
      <c r="C8" s="234">
        <v>640</v>
      </c>
      <c r="D8" s="151" t="s">
        <v>279</v>
      </c>
      <c r="E8" s="151">
        <v>23796</v>
      </c>
      <c r="F8" s="11">
        <v>2925</v>
      </c>
      <c r="G8" s="451">
        <v>4499.9399999999996</v>
      </c>
      <c r="H8" s="451">
        <v>30816.22</v>
      </c>
      <c r="I8" s="18">
        <v>25623</v>
      </c>
      <c r="J8" s="390">
        <f t="shared" si="0"/>
        <v>120.27</v>
      </c>
    </row>
    <row r="9" spans="2:10" ht="14.4" thickBot="1">
      <c r="B9" s="64" t="s">
        <v>4</v>
      </c>
      <c r="C9" s="654" t="s">
        <v>5</v>
      </c>
      <c r="D9" s="615"/>
      <c r="E9" s="33">
        <f>SUM(E10:E12)</f>
        <v>82274</v>
      </c>
      <c r="F9" s="33">
        <f>SUM(F10:F12)</f>
        <v>22548</v>
      </c>
      <c r="G9" s="381">
        <f>SUM(G10:G12)</f>
        <v>18623.79</v>
      </c>
      <c r="H9" s="381">
        <f>SUM(H10:H12)</f>
        <v>22356.78</v>
      </c>
      <c r="I9" s="33">
        <f>SUM(I10:I12)</f>
        <v>16320</v>
      </c>
      <c r="J9" s="358">
        <f t="shared" si="0"/>
        <v>136.99</v>
      </c>
    </row>
    <row r="10" spans="2:10">
      <c r="B10" s="657"/>
      <c r="C10" s="235">
        <v>630</v>
      </c>
      <c r="D10" s="19" t="s">
        <v>63</v>
      </c>
      <c r="E10" s="19">
        <v>1162</v>
      </c>
      <c r="F10" s="19">
        <v>2324</v>
      </c>
      <c r="G10" s="566">
        <v>3486</v>
      </c>
      <c r="H10" s="452">
        <v>2324</v>
      </c>
      <c r="I10" s="20">
        <v>3320</v>
      </c>
      <c r="J10" s="391">
        <f t="shared" si="0"/>
        <v>70</v>
      </c>
    </row>
    <row r="11" spans="2:10">
      <c r="B11" s="658"/>
      <c r="C11" s="236">
        <v>630</v>
      </c>
      <c r="D11" s="21" t="s">
        <v>64</v>
      </c>
      <c r="E11" s="21">
        <v>13096</v>
      </c>
      <c r="F11" s="21">
        <v>9612</v>
      </c>
      <c r="G11" s="567">
        <f>13021.55+311.04+1579.06</f>
        <v>14911.65</v>
      </c>
      <c r="H11" s="453">
        <v>19064.189999999999</v>
      </c>
      <c r="I11" s="22">
        <v>13000</v>
      </c>
      <c r="J11" s="392">
        <f t="shared" si="0"/>
        <v>146.65</v>
      </c>
    </row>
    <row r="12" spans="2:10" ht="13.8" thickBot="1">
      <c r="B12" s="659"/>
      <c r="C12" s="237">
        <v>630</v>
      </c>
      <c r="D12" s="179" t="s">
        <v>272</v>
      </c>
      <c r="E12" s="21">
        <v>68016</v>
      </c>
      <c r="F12" s="436">
        <v>10612</v>
      </c>
      <c r="G12" s="568">
        <v>226.14</v>
      </c>
      <c r="H12" s="454">
        <v>968.59</v>
      </c>
      <c r="I12" s="218"/>
      <c r="J12" s="393">
        <f t="shared" si="0"/>
        <v>0</v>
      </c>
    </row>
    <row r="13" spans="2:10" s="28" customFormat="1" ht="14.4" thickBot="1">
      <c r="B13" s="64" t="s">
        <v>65</v>
      </c>
      <c r="C13" s="654" t="s">
        <v>199</v>
      </c>
      <c r="D13" s="615"/>
      <c r="E13" s="33">
        <f>SUM(E14:E17)</f>
        <v>27963</v>
      </c>
      <c r="F13" s="33">
        <f>SUM(F14:F17)</f>
        <v>24050</v>
      </c>
      <c r="G13" s="381">
        <f>SUM(G14:G17)</f>
        <v>25050.219999999998</v>
      </c>
      <c r="H13" s="555">
        <f>SUM(H14:H17)</f>
        <v>28488.050000000003</v>
      </c>
      <c r="I13" s="33">
        <f>SUM(I14:I16)</f>
        <v>30464</v>
      </c>
      <c r="J13" s="358">
        <f t="shared" si="0"/>
        <v>93.51</v>
      </c>
    </row>
    <row r="14" spans="2:10">
      <c r="B14" s="657"/>
      <c r="C14" s="232">
        <v>610</v>
      </c>
      <c r="D14" s="13" t="s">
        <v>2</v>
      </c>
      <c r="E14" s="13">
        <v>18167</v>
      </c>
      <c r="F14" s="14">
        <v>15592</v>
      </c>
      <c r="G14" s="460">
        <v>15883.66</v>
      </c>
      <c r="H14" s="455">
        <v>19536.88</v>
      </c>
      <c r="I14" s="14">
        <v>19698</v>
      </c>
      <c r="J14" s="388">
        <f t="shared" si="0"/>
        <v>99.18</v>
      </c>
    </row>
    <row r="15" spans="2:10">
      <c r="B15" s="658"/>
      <c r="C15" s="233">
        <v>620</v>
      </c>
      <c r="D15" s="15" t="s">
        <v>3</v>
      </c>
      <c r="E15" s="15">
        <v>6580</v>
      </c>
      <c r="F15" s="16">
        <v>5691</v>
      </c>
      <c r="G15" s="461">
        <v>6220</v>
      </c>
      <c r="H15" s="456">
        <v>6654.3</v>
      </c>
      <c r="I15" s="16">
        <v>7189</v>
      </c>
      <c r="J15" s="389">
        <f t="shared" si="0"/>
        <v>92.56</v>
      </c>
    </row>
    <row r="16" spans="2:10">
      <c r="B16" s="658"/>
      <c r="C16" s="233">
        <v>630</v>
      </c>
      <c r="D16" s="15" t="s">
        <v>61</v>
      </c>
      <c r="E16" s="15">
        <v>3216</v>
      </c>
      <c r="F16" s="16">
        <v>2533</v>
      </c>
      <c r="G16" s="461">
        <v>2610.08</v>
      </c>
      <c r="H16" s="457">
        <v>2181.04</v>
      </c>
      <c r="I16" s="164">
        <v>3577</v>
      </c>
      <c r="J16" s="389">
        <f t="shared" si="0"/>
        <v>60.97</v>
      </c>
    </row>
    <row r="17" spans="2:14" ht="13.8" thickBot="1">
      <c r="B17" s="659"/>
      <c r="C17" s="234">
        <v>640</v>
      </c>
      <c r="D17" s="151" t="s">
        <v>279</v>
      </c>
      <c r="E17" s="15"/>
      <c r="F17" s="437">
        <v>234</v>
      </c>
      <c r="G17" s="464">
        <v>336.48</v>
      </c>
      <c r="H17" s="458">
        <v>115.83</v>
      </c>
      <c r="I17" s="188"/>
      <c r="J17" s="191">
        <f t="shared" si="0"/>
        <v>0</v>
      </c>
    </row>
    <row r="18" spans="2:14" ht="14.4" thickBot="1">
      <c r="B18" s="64" t="s">
        <v>196</v>
      </c>
      <c r="C18" s="654" t="s">
        <v>203</v>
      </c>
      <c r="D18" s="615"/>
      <c r="E18" s="33">
        <f>E21+E19+E20+E22+E23</f>
        <v>33449</v>
      </c>
      <c r="F18" s="33">
        <f>F21+F19+F20+F22+F23</f>
        <v>18092</v>
      </c>
      <c r="G18" s="381">
        <f>G21+G19+G20+G22+G23</f>
        <v>54586.799999999996</v>
      </c>
      <c r="H18" s="381">
        <f>H21+H19+H20+H22+H23</f>
        <v>16584.939999999999</v>
      </c>
      <c r="I18" s="33">
        <f>I21+I19+I20+I22+I23</f>
        <v>13617</v>
      </c>
      <c r="J18" s="358">
        <f t="shared" si="0"/>
        <v>121.8</v>
      </c>
    </row>
    <row r="19" spans="2:14" ht="14.25" customHeight="1">
      <c r="B19" s="661"/>
      <c r="C19" s="232">
        <v>610</v>
      </c>
      <c r="D19" s="23" t="s">
        <v>2</v>
      </c>
      <c r="E19" s="23">
        <v>7969</v>
      </c>
      <c r="F19" s="13">
        <v>7777</v>
      </c>
      <c r="G19" s="13">
        <v>7662.08</v>
      </c>
      <c r="H19" s="23">
        <v>8679.9500000000007</v>
      </c>
      <c r="I19" s="14">
        <v>9008</v>
      </c>
      <c r="J19" s="388">
        <f t="shared" si="0"/>
        <v>96.36</v>
      </c>
    </row>
    <row r="20" spans="2:14" ht="14.25" customHeight="1">
      <c r="B20" s="662"/>
      <c r="C20" s="233">
        <v>620</v>
      </c>
      <c r="D20" s="24" t="s">
        <v>3</v>
      </c>
      <c r="E20" s="24">
        <v>3469</v>
      </c>
      <c r="F20" s="15">
        <v>3267</v>
      </c>
      <c r="G20" s="15">
        <v>3320.66</v>
      </c>
      <c r="H20" s="24">
        <v>3113.97</v>
      </c>
      <c r="I20" s="16">
        <v>3381</v>
      </c>
      <c r="J20" s="389">
        <f t="shared" si="0"/>
        <v>92.1</v>
      </c>
    </row>
    <row r="21" spans="2:14" ht="14.25" customHeight="1">
      <c r="B21" s="662"/>
      <c r="C21" s="233">
        <v>630</v>
      </c>
      <c r="D21" s="24" t="s">
        <v>61</v>
      </c>
      <c r="E21" s="24">
        <v>1227</v>
      </c>
      <c r="F21" s="16">
        <v>947</v>
      </c>
      <c r="G21" s="16">
        <f>7170-6172.96-55-354</f>
        <v>588.04</v>
      </c>
      <c r="H21" s="457">
        <v>634.67999999999995</v>
      </c>
      <c r="I21" s="164">
        <v>1228</v>
      </c>
      <c r="J21" s="389">
        <f t="shared" si="0"/>
        <v>51.68</v>
      </c>
    </row>
    <row r="22" spans="2:14" ht="14.25" customHeight="1">
      <c r="B22" s="662"/>
      <c r="C22" s="233">
        <v>640</v>
      </c>
      <c r="D22" s="15" t="s">
        <v>279</v>
      </c>
      <c r="E22" s="24">
        <v>3100</v>
      </c>
      <c r="F22" s="15">
        <v>6101</v>
      </c>
      <c r="G22" s="15"/>
      <c r="H22" s="300">
        <v>113.93</v>
      </c>
      <c r="I22" s="164"/>
      <c r="J22" s="389">
        <f t="shared" si="0"/>
        <v>0</v>
      </c>
    </row>
    <row r="23" spans="2:14" ht="14.25" customHeight="1" thickBot="1">
      <c r="B23" s="663"/>
      <c r="C23" s="238">
        <v>600</v>
      </c>
      <c r="D23" s="151" t="s">
        <v>280</v>
      </c>
      <c r="E23" s="24">
        <v>17684</v>
      </c>
      <c r="F23" s="11"/>
      <c r="G23" s="11">
        <v>43016.02</v>
      </c>
      <c r="H23" s="301">
        <v>4042.409999999998</v>
      </c>
      <c r="I23" s="188"/>
      <c r="J23" s="191">
        <f t="shared" si="0"/>
        <v>0</v>
      </c>
      <c r="N23" s="487"/>
    </row>
    <row r="24" spans="2:14" s="28" customFormat="1" ht="14.4" thickBot="1">
      <c r="B24" s="64" t="s">
        <v>6</v>
      </c>
      <c r="C24" s="654" t="s">
        <v>7</v>
      </c>
      <c r="D24" s="615"/>
      <c r="E24" s="33">
        <f>E25</f>
        <v>92558</v>
      </c>
      <c r="F24" s="33">
        <f>F25</f>
        <v>89614</v>
      </c>
      <c r="G24" s="381">
        <f>G25</f>
        <v>87966.26</v>
      </c>
      <c r="H24" s="555">
        <f>H25</f>
        <v>89070.75</v>
      </c>
      <c r="I24" s="33">
        <f>I25</f>
        <v>98355</v>
      </c>
      <c r="J24" s="358">
        <f t="shared" si="0"/>
        <v>90.56</v>
      </c>
    </row>
    <row r="25" spans="2:14" ht="13.8" thickBot="1">
      <c r="B25" s="65"/>
      <c r="C25" s="239">
        <v>630</v>
      </c>
      <c r="D25" s="5" t="s">
        <v>8</v>
      </c>
      <c r="E25" s="302">
        <v>92558</v>
      </c>
      <c r="F25" s="437">
        <f>85367+4247</f>
        <v>89614</v>
      </c>
      <c r="G25" s="467">
        <v>87966.26</v>
      </c>
      <c r="H25" s="458">
        <v>89070.75</v>
      </c>
      <c r="I25" s="188">
        <v>98355</v>
      </c>
      <c r="J25" s="191">
        <f t="shared" si="0"/>
        <v>90.56</v>
      </c>
    </row>
    <row r="26" spans="2:14" s="28" customFormat="1" ht="14.4" thickBot="1">
      <c r="B26" s="64" t="s">
        <v>9</v>
      </c>
      <c r="C26" s="654" t="s">
        <v>10</v>
      </c>
      <c r="D26" s="615"/>
      <c r="E26" s="33">
        <f>E27</f>
        <v>274</v>
      </c>
      <c r="F26" s="33">
        <f>F27</f>
        <v>464</v>
      </c>
      <c r="G26" s="381">
        <f>G27</f>
        <v>276.29000000000002</v>
      </c>
      <c r="H26" s="555">
        <f>H27</f>
        <v>34.4</v>
      </c>
      <c r="I26" s="33">
        <f>I27</f>
        <v>500</v>
      </c>
      <c r="J26" s="358">
        <f t="shared" si="0"/>
        <v>6.88</v>
      </c>
    </row>
    <row r="27" spans="2:14" ht="13.8" thickBot="1">
      <c r="B27" s="66"/>
      <c r="C27" s="240"/>
      <c r="D27" s="5" t="s">
        <v>11</v>
      </c>
      <c r="E27" s="302">
        <v>274</v>
      </c>
      <c r="F27" s="425">
        <v>464</v>
      </c>
      <c r="G27" s="464">
        <v>276.29000000000002</v>
      </c>
      <c r="H27" s="458">
        <v>34.4</v>
      </c>
      <c r="I27" s="188">
        <v>500</v>
      </c>
      <c r="J27" s="191">
        <f t="shared" si="0"/>
        <v>6.88</v>
      </c>
    </row>
    <row r="28" spans="2:14" s="28" customFormat="1" ht="14.4" thickBot="1">
      <c r="B28" s="64" t="s">
        <v>12</v>
      </c>
      <c r="C28" s="654" t="s">
        <v>67</v>
      </c>
      <c r="D28" s="615"/>
      <c r="E28" s="33">
        <f>SUM(E29:E31)</f>
        <v>150296</v>
      </c>
      <c r="F28" s="33">
        <f>SUM(F29:F31)</f>
        <v>153336</v>
      </c>
      <c r="G28" s="381">
        <f>SUM(G29:G32)</f>
        <v>153063.15</v>
      </c>
      <c r="H28" s="381">
        <f>SUM(H29:H32)</f>
        <v>160199.88999999998</v>
      </c>
      <c r="I28" s="33">
        <f>SUM(I29:I31)</f>
        <v>163442</v>
      </c>
      <c r="J28" s="358">
        <f t="shared" si="0"/>
        <v>98.02</v>
      </c>
    </row>
    <row r="29" spans="2:14">
      <c r="B29" s="655"/>
      <c r="C29" s="232">
        <v>610</v>
      </c>
      <c r="D29" s="13" t="s">
        <v>2</v>
      </c>
      <c r="E29" s="13">
        <v>92984</v>
      </c>
      <c r="F29" s="14">
        <v>93001</v>
      </c>
      <c r="G29" s="460">
        <v>93672.78</v>
      </c>
      <c r="H29" s="460">
        <v>102320.64</v>
      </c>
      <c r="I29" s="14">
        <v>104222</v>
      </c>
      <c r="J29" s="388">
        <f t="shared" si="0"/>
        <v>98.18</v>
      </c>
    </row>
    <row r="30" spans="2:14">
      <c r="B30" s="656"/>
      <c r="C30" s="233">
        <v>620</v>
      </c>
      <c r="D30" s="15" t="s">
        <v>3</v>
      </c>
      <c r="E30" s="15">
        <v>34488</v>
      </c>
      <c r="F30" s="16">
        <v>34548</v>
      </c>
      <c r="G30" s="461">
        <v>37213.83</v>
      </c>
      <c r="H30" s="461">
        <v>35543.370000000003</v>
      </c>
      <c r="I30" s="16">
        <v>36433</v>
      </c>
      <c r="J30" s="389">
        <f t="shared" si="0"/>
        <v>97.56</v>
      </c>
    </row>
    <row r="31" spans="2:14">
      <c r="B31" s="656"/>
      <c r="C31" s="233">
        <v>630</v>
      </c>
      <c r="D31" s="15" t="s">
        <v>61</v>
      </c>
      <c r="E31" s="299">
        <v>22824</v>
      </c>
      <c r="F31" s="164">
        <f>25687+100</f>
        <v>25787</v>
      </c>
      <c r="G31" s="462">
        <v>22014.74</v>
      </c>
      <c r="H31" s="462">
        <v>22171.17</v>
      </c>
      <c r="I31" s="164">
        <v>22787</v>
      </c>
      <c r="J31" s="389">
        <f t="shared" si="0"/>
        <v>97.3</v>
      </c>
    </row>
    <row r="32" spans="2:14" ht="13.8" thickBot="1">
      <c r="B32" s="182"/>
      <c r="C32" s="233">
        <v>640</v>
      </c>
      <c r="D32" s="15" t="s">
        <v>279</v>
      </c>
      <c r="E32" s="302"/>
      <c r="F32" s="302"/>
      <c r="G32" s="463">
        <v>161.80000000000001</v>
      </c>
      <c r="H32" s="463">
        <v>164.71</v>
      </c>
      <c r="I32" s="188"/>
      <c r="J32" s="191">
        <f t="shared" si="0"/>
        <v>0</v>
      </c>
    </row>
    <row r="33" spans="2:14" s="28" customFormat="1" ht="14.4" thickBot="1">
      <c r="B33" s="64" t="s">
        <v>14</v>
      </c>
      <c r="C33" s="654" t="s">
        <v>15</v>
      </c>
      <c r="D33" s="615"/>
      <c r="E33" s="33">
        <f>E34</f>
        <v>1028</v>
      </c>
      <c r="F33" s="33">
        <f>F34</f>
        <v>1230</v>
      </c>
      <c r="G33" s="381">
        <f>G34</f>
        <v>600</v>
      </c>
      <c r="H33" s="381">
        <f>H34</f>
        <v>1048.67</v>
      </c>
      <c r="I33" s="33">
        <f>I34</f>
        <v>1500</v>
      </c>
      <c r="J33" s="358">
        <f t="shared" si="0"/>
        <v>69.91</v>
      </c>
    </row>
    <row r="34" spans="2:14" ht="13.8" thickBot="1">
      <c r="B34" s="66"/>
      <c r="C34" s="241"/>
      <c r="D34" s="10" t="s">
        <v>16</v>
      </c>
      <c r="E34" s="109">
        <v>1028</v>
      </c>
      <c r="F34" s="109">
        <v>1230</v>
      </c>
      <c r="G34" s="464">
        <v>600</v>
      </c>
      <c r="H34" s="464">
        <v>1048.67</v>
      </c>
      <c r="I34" s="9">
        <v>1500</v>
      </c>
      <c r="J34" s="394">
        <f t="shared" si="0"/>
        <v>69.91</v>
      </c>
    </row>
    <row r="35" spans="2:14" s="286" customFormat="1" ht="14.4" thickBot="1">
      <c r="B35" s="67" t="s">
        <v>55</v>
      </c>
      <c r="C35" s="654" t="s">
        <v>56</v>
      </c>
      <c r="D35" s="615"/>
      <c r="E35" s="58">
        <f>SUM(E36:E39)</f>
        <v>45897</v>
      </c>
      <c r="F35" s="58">
        <f>SUM(F36:F39)</f>
        <v>45604</v>
      </c>
      <c r="G35" s="465">
        <f>SUM(G36:G39)</f>
        <v>70768.37</v>
      </c>
      <c r="H35" s="465">
        <f>SUM(H36:H39)</f>
        <v>57765.42</v>
      </c>
      <c r="I35" s="58">
        <f>SUM(I36:I38)</f>
        <v>60583</v>
      </c>
      <c r="J35" s="351">
        <f t="shared" si="0"/>
        <v>95.35</v>
      </c>
    </row>
    <row r="36" spans="2:14">
      <c r="B36" s="655"/>
      <c r="C36" s="232">
        <v>610</v>
      </c>
      <c r="D36" s="13" t="s">
        <v>2</v>
      </c>
      <c r="E36" s="303">
        <v>21683</v>
      </c>
      <c r="F36" s="303">
        <v>23558</v>
      </c>
      <c r="G36" s="466">
        <v>34957.480000000003</v>
      </c>
      <c r="H36" s="466">
        <v>28518.63</v>
      </c>
      <c r="I36" s="163">
        <v>28724</v>
      </c>
      <c r="J36" s="388">
        <f t="shared" ref="J36:J67" si="1">IF(I36=0,0,ROUND((H36/I36)*100,2))</f>
        <v>99.29</v>
      </c>
    </row>
    <row r="37" spans="2:14">
      <c r="B37" s="656"/>
      <c r="C37" s="233">
        <v>620</v>
      </c>
      <c r="D37" s="15" t="s">
        <v>3</v>
      </c>
      <c r="E37" s="299">
        <v>7713</v>
      </c>
      <c r="F37" s="299">
        <v>8188</v>
      </c>
      <c r="G37" s="462">
        <v>13167.56</v>
      </c>
      <c r="H37" s="462">
        <v>9242.2099999999991</v>
      </c>
      <c r="I37" s="164">
        <v>10309</v>
      </c>
      <c r="J37" s="389">
        <f t="shared" si="1"/>
        <v>89.65</v>
      </c>
      <c r="M37" s="487"/>
      <c r="N37" s="487"/>
    </row>
    <row r="38" spans="2:14">
      <c r="B38" s="656"/>
      <c r="C38" s="233">
        <v>630</v>
      </c>
      <c r="D38" s="15" t="s">
        <v>61</v>
      </c>
      <c r="E38" s="299">
        <v>16501</v>
      </c>
      <c r="F38" s="299">
        <v>13727</v>
      </c>
      <c r="G38" s="462">
        <v>20379.169999999998</v>
      </c>
      <c r="H38" s="462">
        <v>19888.419999999998</v>
      </c>
      <c r="I38" s="164">
        <v>21550</v>
      </c>
      <c r="J38" s="389">
        <f t="shared" si="1"/>
        <v>92.29</v>
      </c>
    </row>
    <row r="39" spans="2:14" ht="13.8" thickBot="1">
      <c r="B39" s="660"/>
      <c r="C39" s="234">
        <v>640</v>
      </c>
      <c r="D39" s="151" t="s">
        <v>279</v>
      </c>
      <c r="E39" s="302"/>
      <c r="F39" s="302">
        <v>131</v>
      </c>
      <c r="G39" s="463">
        <v>2264.16</v>
      </c>
      <c r="H39" s="463">
        <v>116.16</v>
      </c>
      <c r="I39" s="188"/>
      <c r="J39" s="191">
        <f t="shared" si="1"/>
        <v>0</v>
      </c>
    </row>
    <row r="40" spans="2:14" s="28" customFormat="1" ht="14.4" thickBot="1">
      <c r="B40" s="64" t="s">
        <v>17</v>
      </c>
      <c r="C40" s="654" t="s">
        <v>18</v>
      </c>
      <c r="D40" s="615"/>
      <c r="E40" s="33">
        <f>E41</f>
        <v>182</v>
      </c>
      <c r="F40" s="33">
        <f>F41</f>
        <v>104</v>
      </c>
      <c r="G40" s="381">
        <f>G41</f>
        <v>169.4</v>
      </c>
      <c r="H40" s="381">
        <f>H41</f>
        <v>87.6</v>
      </c>
      <c r="I40" s="33">
        <f>I41</f>
        <v>200</v>
      </c>
      <c r="J40" s="358">
        <f t="shared" si="1"/>
        <v>43.8</v>
      </c>
    </row>
    <row r="41" spans="2:14" ht="13.8" thickBot="1">
      <c r="B41" s="68"/>
      <c r="C41" s="242">
        <v>640</v>
      </c>
      <c r="D41" s="11" t="s">
        <v>219</v>
      </c>
      <c r="E41" s="11">
        <v>182</v>
      </c>
      <c r="F41" s="11">
        <v>104</v>
      </c>
      <c r="G41" s="467">
        <v>169.4</v>
      </c>
      <c r="H41" s="467">
        <v>87.6</v>
      </c>
      <c r="I41" s="9">
        <v>200</v>
      </c>
      <c r="J41" s="394">
        <f t="shared" si="1"/>
        <v>43.8</v>
      </c>
    </row>
    <row r="42" spans="2:14" ht="14.4" thickBot="1">
      <c r="B42" s="64" t="s">
        <v>136</v>
      </c>
      <c r="C42" s="654" t="s">
        <v>30</v>
      </c>
      <c r="D42" s="615"/>
      <c r="E42" s="58">
        <f>SUM(E43:E45)</f>
        <v>29902</v>
      </c>
      <c r="F42" s="58">
        <f>SUM(F43:F45)</f>
        <v>27922</v>
      </c>
      <c r="G42" s="465">
        <f>SUM(G43:G45)</f>
        <v>26736.059999999998</v>
      </c>
      <c r="H42" s="465">
        <f>SUM(H43:H45)</f>
        <v>31580.040000000005</v>
      </c>
      <c r="I42" s="58">
        <f>SUM(I43:I45)</f>
        <v>32690</v>
      </c>
      <c r="J42" s="351">
        <f t="shared" si="1"/>
        <v>96.6</v>
      </c>
    </row>
    <row r="43" spans="2:14">
      <c r="B43" s="655"/>
      <c r="C43" s="232">
        <v>610</v>
      </c>
      <c r="D43" s="13" t="s">
        <v>2</v>
      </c>
      <c r="E43" s="13">
        <v>19249</v>
      </c>
      <c r="F43" s="13">
        <v>18860</v>
      </c>
      <c r="G43" s="455">
        <v>17749.95</v>
      </c>
      <c r="H43" s="455">
        <v>21482.58</v>
      </c>
      <c r="I43" s="14">
        <v>21900</v>
      </c>
      <c r="J43" s="388">
        <f t="shared" si="1"/>
        <v>98.09</v>
      </c>
    </row>
    <row r="44" spans="2:14">
      <c r="B44" s="656"/>
      <c r="C44" s="233">
        <v>620</v>
      </c>
      <c r="D44" s="15" t="s">
        <v>3</v>
      </c>
      <c r="E44" s="15">
        <v>6741</v>
      </c>
      <c r="F44" s="15">
        <v>6528</v>
      </c>
      <c r="G44" s="456">
        <v>6227.83</v>
      </c>
      <c r="H44" s="456">
        <v>7544.26</v>
      </c>
      <c r="I44" s="16">
        <v>7725</v>
      </c>
      <c r="J44" s="389">
        <f t="shared" si="1"/>
        <v>97.66</v>
      </c>
    </row>
    <row r="45" spans="2:14" ht="13.8" thickBot="1">
      <c r="B45" s="660"/>
      <c r="C45" s="243">
        <v>630</v>
      </c>
      <c r="D45" s="26" t="s">
        <v>61</v>
      </c>
      <c r="E45" s="26">
        <v>3912</v>
      </c>
      <c r="F45" s="26">
        <f>27588-25054</f>
        <v>2534</v>
      </c>
      <c r="G45" s="468">
        <v>2758.28</v>
      </c>
      <c r="H45" s="468">
        <v>2553.1999999999998</v>
      </c>
      <c r="I45" s="16">
        <v>3065</v>
      </c>
      <c r="J45" s="389">
        <f t="shared" si="1"/>
        <v>83.3</v>
      </c>
    </row>
    <row r="46" spans="2:14" s="28" customFormat="1" ht="14.4" thickBot="1">
      <c r="B46" s="64" t="s">
        <v>138</v>
      </c>
      <c r="C46" s="654" t="s">
        <v>19</v>
      </c>
      <c r="D46" s="615"/>
      <c r="E46" s="33">
        <f>SUM(E47:E50)</f>
        <v>216960</v>
      </c>
      <c r="F46" s="33">
        <f>SUM(F47:F50)</f>
        <v>236599</v>
      </c>
      <c r="G46" s="381">
        <f>SUM(G47:G50)</f>
        <v>216987.18</v>
      </c>
      <c r="H46" s="555">
        <f>SUM(H47:H50)</f>
        <v>226497.02000000002</v>
      </c>
      <c r="I46" s="33">
        <f>SUM(I47:I50)</f>
        <v>226211</v>
      </c>
      <c r="J46" s="358">
        <f t="shared" si="1"/>
        <v>100.13</v>
      </c>
    </row>
    <row r="47" spans="2:14" s="28" customFormat="1" ht="13.5" customHeight="1">
      <c r="B47" s="661"/>
      <c r="C47" s="244">
        <v>640</v>
      </c>
      <c r="D47" s="77" t="s">
        <v>156</v>
      </c>
      <c r="E47" s="339">
        <v>150070</v>
      </c>
      <c r="F47" s="339">
        <v>167336</v>
      </c>
      <c r="G47" s="557">
        <v>148104</v>
      </c>
      <c r="H47" s="469">
        <v>157211</v>
      </c>
      <c r="I47" s="161">
        <v>157211</v>
      </c>
      <c r="J47" s="391">
        <f t="shared" si="1"/>
        <v>100</v>
      </c>
    </row>
    <row r="48" spans="2:14" s="28" customFormat="1" ht="13.5" customHeight="1">
      <c r="B48" s="662"/>
      <c r="C48" s="245">
        <v>630</v>
      </c>
      <c r="D48" s="143" t="s">
        <v>253</v>
      </c>
      <c r="E48" s="340">
        <v>2060</v>
      </c>
      <c r="F48" s="340">
        <v>1011</v>
      </c>
      <c r="G48" s="558">
        <v>1770</v>
      </c>
      <c r="H48" s="470">
        <v>1790</v>
      </c>
      <c r="I48" s="167">
        <v>3000</v>
      </c>
      <c r="J48" s="395">
        <f t="shared" si="1"/>
        <v>59.67</v>
      </c>
    </row>
    <row r="49" spans="2:13" s="28" customFormat="1" ht="13.5" hidden="1" customHeight="1">
      <c r="B49" s="662"/>
      <c r="C49" s="245">
        <v>630</v>
      </c>
      <c r="D49" s="143" t="s">
        <v>202</v>
      </c>
      <c r="E49" s="340"/>
      <c r="F49" s="441"/>
      <c r="G49" s="559"/>
      <c r="H49" s="471"/>
      <c r="I49" s="167">
        <v>0</v>
      </c>
      <c r="J49" s="395">
        <f t="shared" si="1"/>
        <v>0</v>
      </c>
    </row>
    <row r="50" spans="2:13" ht="13.8" thickBot="1">
      <c r="B50" s="663"/>
      <c r="C50" s="238">
        <v>640</v>
      </c>
      <c r="D50" s="189" t="s">
        <v>257</v>
      </c>
      <c r="E50" s="341">
        <v>64830</v>
      </c>
      <c r="F50" s="109">
        <v>68252</v>
      </c>
      <c r="G50" s="464">
        <v>67113.179999999993</v>
      </c>
      <c r="H50" s="472">
        <v>67496.02</v>
      </c>
      <c r="I50" s="260">
        <v>66000</v>
      </c>
      <c r="J50" s="396">
        <f t="shared" si="1"/>
        <v>102.27</v>
      </c>
    </row>
    <row r="51" spans="2:13" s="28" customFormat="1" ht="14.4" thickBot="1">
      <c r="B51" s="70" t="s">
        <v>20</v>
      </c>
      <c r="C51" s="675" t="s">
        <v>21</v>
      </c>
      <c r="D51" s="629"/>
      <c r="E51" s="63">
        <f>SUM(E56:E64)+E52</f>
        <v>58168</v>
      </c>
      <c r="F51" s="63">
        <f>SUM(F56:F64)+F52</f>
        <v>57293</v>
      </c>
      <c r="G51" s="381">
        <f>SUM(G56:G64)+G52</f>
        <v>53359.31</v>
      </c>
      <c r="H51" s="556">
        <f>SUM(H56:H64)+H52</f>
        <v>49261.270000000004</v>
      </c>
      <c r="I51" s="63">
        <f>SUM(I56:I64)+I52</f>
        <v>52065</v>
      </c>
      <c r="J51" s="360">
        <f t="shared" si="1"/>
        <v>94.61</v>
      </c>
    </row>
    <row r="52" spans="2:13" ht="13.8" thickBot="1">
      <c r="B52" s="657"/>
      <c r="C52" s="676" t="s">
        <v>208</v>
      </c>
      <c r="D52" s="677"/>
      <c r="E52" s="212">
        <f>SUM(E53:E55)</f>
        <v>23577</v>
      </c>
      <c r="F52" s="212">
        <f>SUM(F53:F55)</f>
        <v>25508</v>
      </c>
      <c r="G52" s="488">
        <f>SUM(G53:G55)</f>
        <v>26966.809999999998</v>
      </c>
      <c r="H52" s="560">
        <f>SUM(H53:H55)</f>
        <v>26493.65</v>
      </c>
      <c r="I52" s="212">
        <f>SUM(I53:I55)</f>
        <v>27065</v>
      </c>
      <c r="J52" s="397">
        <f t="shared" si="1"/>
        <v>97.89</v>
      </c>
      <c r="M52" s="487"/>
    </row>
    <row r="53" spans="2:13">
      <c r="B53" s="658"/>
      <c r="C53" s="246">
        <v>610</v>
      </c>
      <c r="D53" s="75" t="s">
        <v>2</v>
      </c>
      <c r="E53" s="75">
        <v>15432</v>
      </c>
      <c r="F53" s="75">
        <v>15427</v>
      </c>
      <c r="G53" s="75">
        <v>14767.98</v>
      </c>
      <c r="H53" s="439">
        <v>15800.44</v>
      </c>
      <c r="I53" s="76">
        <v>18242</v>
      </c>
      <c r="J53" s="395">
        <f t="shared" si="1"/>
        <v>86.62</v>
      </c>
    </row>
    <row r="54" spans="2:13">
      <c r="B54" s="658"/>
      <c r="C54" s="246">
        <v>620</v>
      </c>
      <c r="D54" s="75" t="s">
        <v>3</v>
      </c>
      <c r="E54" s="75">
        <v>5547</v>
      </c>
      <c r="F54" s="75">
        <v>5746</v>
      </c>
      <c r="G54" s="75">
        <v>5836.68</v>
      </c>
      <c r="H54" s="439">
        <v>5402.44</v>
      </c>
      <c r="I54" s="76">
        <v>6753</v>
      </c>
      <c r="J54" s="395">
        <f t="shared" si="1"/>
        <v>80</v>
      </c>
    </row>
    <row r="55" spans="2:13" ht="13.8" thickBot="1">
      <c r="B55" s="658"/>
      <c r="C55" s="247">
        <v>630</v>
      </c>
      <c r="D55" s="7" t="s">
        <v>61</v>
      </c>
      <c r="E55" s="305">
        <v>2598</v>
      </c>
      <c r="F55" s="7">
        <v>4335</v>
      </c>
      <c r="G55" s="7">
        <v>6362.15</v>
      </c>
      <c r="H55" s="440">
        <f>10117.77-827-3000-1000</f>
        <v>5290.77</v>
      </c>
      <c r="I55" s="260">
        <v>2070</v>
      </c>
      <c r="J55" s="398">
        <f t="shared" si="1"/>
        <v>255.59</v>
      </c>
    </row>
    <row r="56" spans="2:13">
      <c r="B56" s="658"/>
      <c r="C56" s="246">
        <v>600</v>
      </c>
      <c r="D56" s="75" t="s">
        <v>22</v>
      </c>
      <c r="E56" s="75">
        <v>6912</v>
      </c>
      <c r="F56" s="75">
        <v>9446</v>
      </c>
      <c r="G56" s="75">
        <v>4778.18</v>
      </c>
      <c r="H56" s="439">
        <f>2536.39+2320+827+3000</f>
        <v>8683.39</v>
      </c>
      <c r="I56" s="20">
        <v>10000</v>
      </c>
      <c r="J56" s="399">
        <f t="shared" si="1"/>
        <v>86.83</v>
      </c>
    </row>
    <row r="57" spans="2:13" hidden="1">
      <c r="B57" s="658"/>
      <c r="C57" s="246">
        <v>600</v>
      </c>
      <c r="D57" s="75" t="s">
        <v>304</v>
      </c>
      <c r="E57" s="75"/>
      <c r="F57" s="75"/>
      <c r="G57" s="75"/>
      <c r="H57" s="439"/>
      <c r="I57" s="76"/>
      <c r="J57" s="400">
        <f t="shared" si="1"/>
        <v>0</v>
      </c>
    </row>
    <row r="58" spans="2:13">
      <c r="B58" s="658"/>
      <c r="C58" s="246">
        <v>600</v>
      </c>
      <c r="D58" s="21" t="s">
        <v>23</v>
      </c>
      <c r="E58" s="21">
        <v>1500</v>
      </c>
      <c r="F58" s="21">
        <v>370</v>
      </c>
      <c r="G58" s="21">
        <v>592.20000000000005</v>
      </c>
      <c r="H58" s="561">
        <f>300+920</f>
        <v>1220</v>
      </c>
      <c r="I58" s="22">
        <v>1000</v>
      </c>
      <c r="J58" s="400">
        <f t="shared" si="1"/>
        <v>122</v>
      </c>
    </row>
    <row r="59" spans="2:13">
      <c r="B59" s="658"/>
      <c r="C59" s="246">
        <v>600</v>
      </c>
      <c r="D59" s="21" t="s">
        <v>201</v>
      </c>
      <c r="E59" s="21">
        <v>2416</v>
      </c>
      <c r="F59" s="21">
        <v>4274</v>
      </c>
      <c r="G59" s="21">
        <v>2000</v>
      </c>
      <c r="H59" s="561">
        <f>2522+978</f>
        <v>3500</v>
      </c>
      <c r="I59" s="22">
        <v>3500</v>
      </c>
      <c r="J59" s="400">
        <f t="shared" si="1"/>
        <v>100</v>
      </c>
    </row>
    <row r="60" spans="2:13">
      <c r="B60" s="658"/>
      <c r="C60" s="246">
        <v>600</v>
      </c>
      <c r="D60" s="21" t="s">
        <v>24</v>
      </c>
      <c r="E60" s="21">
        <v>832</v>
      </c>
      <c r="F60" s="21">
        <v>1493</v>
      </c>
      <c r="G60" s="21">
        <v>1232</v>
      </c>
      <c r="H60" s="561">
        <v>1000</v>
      </c>
      <c r="I60" s="22">
        <v>1000</v>
      </c>
      <c r="J60" s="400">
        <f t="shared" si="1"/>
        <v>100</v>
      </c>
    </row>
    <row r="61" spans="2:13" ht="13.5" customHeight="1">
      <c r="B61" s="658"/>
      <c r="C61" s="246">
        <v>600</v>
      </c>
      <c r="D61" s="21" t="s">
        <v>216</v>
      </c>
      <c r="E61" s="21">
        <v>11969</v>
      </c>
      <c r="F61" s="21">
        <v>11202</v>
      </c>
      <c r="G61" s="21">
        <v>15790.12</v>
      </c>
      <c r="H61" s="561">
        <v>6364.23</v>
      </c>
      <c r="I61" s="22">
        <v>7500</v>
      </c>
      <c r="J61" s="400">
        <f t="shared" si="1"/>
        <v>84.86</v>
      </c>
    </row>
    <row r="62" spans="2:13" ht="13.5" customHeight="1">
      <c r="B62" s="658"/>
      <c r="C62" s="246">
        <v>600</v>
      </c>
      <c r="D62" s="21" t="s">
        <v>260</v>
      </c>
      <c r="E62" s="21"/>
      <c r="F62" s="21">
        <v>5000</v>
      </c>
      <c r="G62" s="21"/>
      <c r="H62" s="561"/>
      <c r="I62" s="22"/>
      <c r="J62" s="401">
        <f t="shared" si="1"/>
        <v>0</v>
      </c>
    </row>
    <row r="63" spans="2:13">
      <c r="B63" s="658"/>
      <c r="C63" s="246">
        <v>600</v>
      </c>
      <c r="D63" s="157" t="s">
        <v>261</v>
      </c>
      <c r="E63" s="21">
        <v>4512</v>
      </c>
      <c r="F63" s="21"/>
      <c r="G63" s="75"/>
      <c r="H63" s="439"/>
      <c r="I63" s="76"/>
      <c r="J63" s="401">
        <f t="shared" si="1"/>
        <v>0</v>
      </c>
    </row>
    <row r="64" spans="2:13" ht="13.8" thickBot="1">
      <c r="B64" s="659"/>
      <c r="C64" s="606">
        <v>600</v>
      </c>
      <c r="D64" s="17" t="s">
        <v>322</v>
      </c>
      <c r="E64" s="109">
        <v>6450</v>
      </c>
      <c r="F64" s="109"/>
      <c r="G64" s="109">
        <v>2000</v>
      </c>
      <c r="H64" s="189">
        <v>2000</v>
      </c>
      <c r="I64" s="101">
        <v>2000</v>
      </c>
      <c r="J64" s="402">
        <f t="shared" si="1"/>
        <v>100</v>
      </c>
    </row>
    <row r="65" spans="1:10" s="28" customFormat="1" ht="14.4" thickBot="1">
      <c r="B65" s="64" t="s">
        <v>25</v>
      </c>
      <c r="C65" s="654" t="s">
        <v>26</v>
      </c>
      <c r="D65" s="615"/>
      <c r="E65" s="608">
        <v>33352</v>
      </c>
      <c r="F65" s="609">
        <v>37492</v>
      </c>
      <c r="G65" s="609">
        <v>38137.74</v>
      </c>
      <c r="H65" s="609">
        <v>48253.93</v>
      </c>
      <c r="I65" s="162">
        <v>40680</v>
      </c>
      <c r="J65" s="358">
        <f t="shared" si="1"/>
        <v>118.62</v>
      </c>
    </row>
    <row r="66" spans="1:10" ht="14.4" hidden="1" thickBot="1">
      <c r="B66" s="657"/>
      <c r="C66" s="248" t="s">
        <v>68</v>
      </c>
      <c r="D66" s="19" t="s">
        <v>180</v>
      </c>
      <c r="E66" s="296"/>
      <c r="F66" s="296"/>
      <c r="G66" s="296"/>
      <c r="H66" s="296"/>
      <c r="I66" s="167"/>
      <c r="J66" s="395">
        <f t="shared" si="1"/>
        <v>0</v>
      </c>
    </row>
    <row r="67" spans="1:10" ht="14.4" hidden="1" thickBot="1">
      <c r="B67" s="658"/>
      <c r="C67" s="249" t="s">
        <v>68</v>
      </c>
      <c r="D67" s="21" t="s">
        <v>181</v>
      </c>
      <c r="E67" s="296"/>
      <c r="F67" s="296"/>
      <c r="G67" s="296"/>
      <c r="H67" s="296"/>
      <c r="I67" s="168"/>
      <c r="J67" s="392">
        <f t="shared" si="1"/>
        <v>0</v>
      </c>
    </row>
    <row r="68" spans="1:10" ht="14.4" hidden="1" thickBot="1">
      <c r="A68" s="286"/>
      <c r="B68" s="659"/>
      <c r="C68" s="234">
        <v>600</v>
      </c>
      <c r="D68" s="17" t="s">
        <v>182</v>
      </c>
      <c r="E68" s="296"/>
      <c r="F68" s="296"/>
      <c r="G68" s="296"/>
      <c r="H68" s="296"/>
      <c r="I68" s="166"/>
      <c r="J68" s="403">
        <f t="shared" ref="J68:J99" si="2">IF(I68=0,0,ROUND((H68/I68)*100,2))</f>
        <v>0</v>
      </c>
    </row>
    <row r="69" spans="1:10" s="28" customFormat="1" ht="18" customHeight="1" thickBot="1">
      <c r="A69" s="114"/>
      <c r="B69" s="70" t="s">
        <v>27</v>
      </c>
      <c r="C69" s="673" t="s">
        <v>307</v>
      </c>
      <c r="D69" s="674"/>
      <c r="E69" s="63">
        <f>SUM(E70:E72)</f>
        <v>454364</v>
      </c>
      <c r="F69" s="33">
        <f>SUM(F70:F72)</f>
        <v>445324</v>
      </c>
      <c r="G69" s="381">
        <f>SUM(G70:G72)</f>
        <v>440667.17</v>
      </c>
      <c r="H69" s="555">
        <f>SUM(H70:H72)</f>
        <v>406831.45</v>
      </c>
      <c r="I69" s="63">
        <f>SUM(I70:I72)</f>
        <v>471700</v>
      </c>
      <c r="J69" s="360">
        <f t="shared" si="2"/>
        <v>86.25</v>
      </c>
    </row>
    <row r="70" spans="1:10" s="28" customFormat="1" ht="15" hidden="1" customHeight="1">
      <c r="A70" s="114"/>
      <c r="B70" s="661"/>
      <c r="C70" s="235">
        <v>650</v>
      </c>
      <c r="D70" s="127" t="s">
        <v>202</v>
      </c>
      <c r="E70" s="342"/>
      <c r="F70" s="443"/>
      <c r="G70" s="443"/>
      <c r="H70" s="307"/>
      <c r="I70" s="167"/>
      <c r="J70" s="395">
        <f t="shared" si="2"/>
        <v>0</v>
      </c>
    </row>
    <row r="71" spans="1:10" ht="15" customHeight="1">
      <c r="B71" s="662"/>
      <c r="C71" s="249" t="s">
        <v>233</v>
      </c>
      <c r="D71" s="128" t="s">
        <v>234</v>
      </c>
      <c r="E71" s="343">
        <v>3974</v>
      </c>
      <c r="F71" s="444">
        <v>3974</v>
      </c>
      <c r="G71" s="444">
        <v>3974.17</v>
      </c>
      <c r="H71" s="314">
        <f>4974.02</f>
        <v>4974.0200000000004</v>
      </c>
      <c r="I71" s="168">
        <v>3980</v>
      </c>
      <c r="J71" s="392">
        <f t="shared" si="2"/>
        <v>124.98</v>
      </c>
    </row>
    <row r="72" spans="1:10" ht="15.75" customHeight="1" thickBot="1">
      <c r="B72" s="663"/>
      <c r="C72" s="237">
        <v>640</v>
      </c>
      <c r="D72" s="129" t="s">
        <v>225</v>
      </c>
      <c r="E72" s="344">
        <v>450390</v>
      </c>
      <c r="F72" s="445">
        <v>441350</v>
      </c>
      <c r="G72" s="562">
        <v>436693</v>
      </c>
      <c r="H72" s="489">
        <f>467719.8-65862.37</f>
        <v>401857.43</v>
      </c>
      <c r="I72" s="263">
        <v>467720</v>
      </c>
      <c r="J72" s="398">
        <f t="shared" si="2"/>
        <v>85.92</v>
      </c>
    </row>
    <row r="73" spans="1:10" ht="15.75" hidden="1" customHeight="1" thickBot="1">
      <c r="B73" s="80" t="s">
        <v>297</v>
      </c>
      <c r="C73" s="678" t="s">
        <v>298</v>
      </c>
      <c r="D73" s="679"/>
      <c r="E73" s="219">
        <f>E74</f>
        <v>0</v>
      </c>
      <c r="F73" s="219">
        <f>F74</f>
        <v>0</v>
      </c>
      <c r="G73" s="219"/>
      <c r="H73" s="442"/>
      <c r="I73" s="219">
        <f>I74</f>
        <v>0</v>
      </c>
      <c r="J73" s="404">
        <f t="shared" si="2"/>
        <v>0</v>
      </c>
    </row>
    <row r="74" spans="1:10" ht="15.75" hidden="1" customHeight="1" thickBot="1">
      <c r="B74" s="201"/>
      <c r="C74" s="247">
        <v>630</v>
      </c>
      <c r="D74" s="202" t="s">
        <v>299</v>
      </c>
      <c r="E74" s="315"/>
      <c r="F74" s="315"/>
      <c r="G74" s="563"/>
      <c r="H74" s="435"/>
      <c r="I74" s="260">
        <v>0</v>
      </c>
      <c r="J74" s="396">
        <f t="shared" si="2"/>
        <v>0</v>
      </c>
    </row>
    <row r="75" spans="1:10" ht="14.4" thickBot="1">
      <c r="B75" s="70" t="s">
        <v>29</v>
      </c>
      <c r="C75" s="673" t="s">
        <v>31</v>
      </c>
      <c r="D75" s="674"/>
      <c r="E75" s="63">
        <f>SUM(E76:E79)</f>
        <v>64721</v>
      </c>
      <c r="F75" s="63">
        <f>SUM(F76:F79)</f>
        <v>10450</v>
      </c>
      <c r="G75" s="473">
        <f>SUM(G76:G79)</f>
        <v>10682.39</v>
      </c>
      <c r="H75" s="473">
        <f>SUM(H76:H79)</f>
        <v>9819.23</v>
      </c>
      <c r="I75" s="63">
        <f>SUM(I76:I79)</f>
        <v>11057</v>
      </c>
      <c r="J75" s="360">
        <f t="shared" si="2"/>
        <v>88.81</v>
      </c>
    </row>
    <row r="76" spans="1:10">
      <c r="B76" s="657"/>
      <c r="C76" s="232">
        <v>610</v>
      </c>
      <c r="D76" s="13" t="s">
        <v>2</v>
      </c>
      <c r="E76" s="13">
        <v>7062</v>
      </c>
      <c r="F76" s="13">
        <v>6902</v>
      </c>
      <c r="G76" s="13">
        <v>7013.99</v>
      </c>
      <c r="H76" s="13">
        <v>6670.5</v>
      </c>
      <c r="I76" s="14">
        <v>7083</v>
      </c>
      <c r="J76" s="388">
        <f t="shared" si="2"/>
        <v>94.18</v>
      </c>
    </row>
    <row r="77" spans="1:10">
      <c r="B77" s="658"/>
      <c r="C77" s="233">
        <v>620</v>
      </c>
      <c r="D77" s="15" t="s">
        <v>3</v>
      </c>
      <c r="E77" s="15">
        <v>2706</v>
      </c>
      <c r="F77" s="15">
        <v>2594</v>
      </c>
      <c r="G77" s="15">
        <v>2904.51</v>
      </c>
      <c r="H77" s="15">
        <v>2212.12</v>
      </c>
      <c r="I77" s="16">
        <v>2593</v>
      </c>
      <c r="J77" s="389">
        <f t="shared" si="2"/>
        <v>85.31</v>
      </c>
    </row>
    <row r="78" spans="1:10">
      <c r="B78" s="658"/>
      <c r="C78" s="233">
        <v>630</v>
      </c>
      <c r="D78" s="15" t="s">
        <v>61</v>
      </c>
      <c r="E78" s="15">
        <v>1574</v>
      </c>
      <c r="F78" s="15">
        <v>954</v>
      </c>
      <c r="G78" s="15">
        <v>763.89</v>
      </c>
      <c r="H78" s="15">
        <v>936.61</v>
      </c>
      <c r="I78" s="16">
        <v>1381</v>
      </c>
      <c r="J78" s="389">
        <f t="shared" si="2"/>
        <v>67.819999999999993</v>
      </c>
    </row>
    <row r="79" spans="1:10" ht="13.8" thickBot="1">
      <c r="B79" s="659"/>
      <c r="C79" s="234">
        <v>600</v>
      </c>
      <c r="D79" s="25" t="s">
        <v>251</v>
      </c>
      <c r="E79" s="25">
        <v>53379</v>
      </c>
      <c r="F79" s="25"/>
      <c r="G79" s="25"/>
      <c r="H79" s="25"/>
      <c r="I79" s="18"/>
      <c r="J79" s="390">
        <f t="shared" si="2"/>
        <v>0</v>
      </c>
    </row>
    <row r="80" spans="1:10" ht="14.4" thickBot="1">
      <c r="B80" s="70" t="s">
        <v>32</v>
      </c>
      <c r="C80" s="673" t="s">
        <v>33</v>
      </c>
      <c r="D80" s="674"/>
      <c r="E80" s="63">
        <f>SUM(E81:E84)</f>
        <v>13755</v>
      </c>
      <c r="F80" s="63">
        <f>SUM(F81:F84)</f>
        <v>12987</v>
      </c>
      <c r="G80" s="473">
        <f>SUM(G81:G84)</f>
        <v>12440.38</v>
      </c>
      <c r="H80" s="473">
        <f>SUM(H81:H84)</f>
        <v>12085.220000000001</v>
      </c>
      <c r="I80" s="63">
        <f>SUM(I81:I84)</f>
        <v>14015</v>
      </c>
      <c r="J80" s="360">
        <f t="shared" si="2"/>
        <v>86.23</v>
      </c>
    </row>
    <row r="81" spans="2:13">
      <c r="B81" s="657"/>
      <c r="C81" s="232">
        <v>610</v>
      </c>
      <c r="D81" s="13" t="s">
        <v>2</v>
      </c>
      <c r="E81" s="13">
        <v>8900</v>
      </c>
      <c r="F81" s="13">
        <v>8730</v>
      </c>
      <c r="G81" s="460">
        <v>8356.07</v>
      </c>
      <c r="H81" s="460">
        <v>8369.9699999999993</v>
      </c>
      <c r="I81" s="14">
        <v>9524</v>
      </c>
      <c r="J81" s="388">
        <f t="shared" si="2"/>
        <v>87.88</v>
      </c>
    </row>
    <row r="82" spans="2:13">
      <c r="B82" s="658"/>
      <c r="C82" s="233">
        <v>620</v>
      </c>
      <c r="D82" s="15" t="s">
        <v>3</v>
      </c>
      <c r="E82" s="15">
        <v>3393</v>
      </c>
      <c r="F82" s="15">
        <v>3330</v>
      </c>
      <c r="G82" s="461">
        <v>3406.87</v>
      </c>
      <c r="H82" s="461">
        <v>2973.01</v>
      </c>
      <c r="I82" s="16">
        <v>3507</v>
      </c>
      <c r="J82" s="389">
        <f t="shared" si="2"/>
        <v>84.77</v>
      </c>
    </row>
    <row r="83" spans="2:13">
      <c r="B83" s="658"/>
      <c r="C83" s="243">
        <v>630</v>
      </c>
      <c r="D83" s="26" t="s">
        <v>61</v>
      </c>
      <c r="E83" s="26">
        <v>1462</v>
      </c>
      <c r="F83" s="26">
        <v>927</v>
      </c>
      <c r="G83" s="474">
        <v>677.44</v>
      </c>
      <c r="H83" s="474">
        <v>629.37</v>
      </c>
      <c r="I83" s="27">
        <v>984</v>
      </c>
      <c r="J83" s="389">
        <f t="shared" si="2"/>
        <v>63.96</v>
      </c>
    </row>
    <row r="84" spans="2:13" ht="13.8" thickBot="1">
      <c r="B84" s="659"/>
      <c r="C84" s="234">
        <v>640</v>
      </c>
      <c r="D84" s="17" t="s">
        <v>279</v>
      </c>
      <c r="E84" s="26"/>
      <c r="F84" s="26"/>
      <c r="G84" s="474"/>
      <c r="H84" s="474">
        <v>112.87</v>
      </c>
      <c r="I84" s="27"/>
      <c r="J84" s="403">
        <f t="shared" si="2"/>
        <v>0</v>
      </c>
    </row>
    <row r="85" spans="2:13" ht="14.4" thickBot="1">
      <c r="B85" s="70" t="s">
        <v>157</v>
      </c>
      <c r="C85" s="675" t="s">
        <v>158</v>
      </c>
      <c r="D85" s="629"/>
      <c r="E85" s="33">
        <f>SUM(E86:E101)</f>
        <v>355838</v>
      </c>
      <c r="F85" s="33">
        <f>SUM(F86:F101)</f>
        <v>219663</v>
      </c>
      <c r="G85" s="381">
        <f>440467.09+45034</f>
        <v>485501.09</v>
      </c>
      <c r="H85" s="381">
        <f>SUM(H86:H101)</f>
        <v>315963.52000000002</v>
      </c>
      <c r="I85" s="33">
        <f>SUM(I86:I101)</f>
        <v>309657</v>
      </c>
      <c r="J85" s="358">
        <f t="shared" si="2"/>
        <v>102.04</v>
      </c>
      <c r="M85" s="487"/>
    </row>
    <row r="86" spans="2:13">
      <c r="B86" s="656"/>
      <c r="C86" s="233">
        <v>630</v>
      </c>
      <c r="D86" s="15" t="s">
        <v>243</v>
      </c>
      <c r="E86" s="308">
        <v>116166</v>
      </c>
      <c r="F86" s="171"/>
      <c r="G86" s="476">
        <v>164829</v>
      </c>
      <c r="H86" s="476">
        <v>115488</v>
      </c>
      <c r="I86" s="171">
        <v>115500</v>
      </c>
      <c r="J86" s="405">
        <f t="shared" si="2"/>
        <v>99.99</v>
      </c>
    </row>
    <row r="87" spans="2:13">
      <c r="B87" s="656"/>
      <c r="C87" s="243">
        <v>630</v>
      </c>
      <c r="D87" s="26" t="s">
        <v>327</v>
      </c>
      <c r="E87" s="299"/>
      <c r="F87" s="164"/>
      <c r="G87" s="461">
        <f>3560.88+6135.66</f>
        <v>9696.5400000000009</v>
      </c>
      <c r="H87" s="476"/>
      <c r="I87" s="171"/>
      <c r="J87" s="389">
        <f t="shared" si="2"/>
        <v>0</v>
      </c>
    </row>
    <row r="88" spans="2:13">
      <c r="B88" s="656"/>
      <c r="C88" s="243">
        <v>630</v>
      </c>
      <c r="D88" s="26" t="s">
        <v>349</v>
      </c>
      <c r="E88" s="299"/>
      <c r="F88" s="164"/>
      <c r="G88" s="461">
        <v>9955.2999999999993</v>
      </c>
      <c r="H88" s="476"/>
      <c r="I88" s="171"/>
      <c r="J88" s="389">
        <f t="shared" si="2"/>
        <v>0</v>
      </c>
    </row>
    <row r="89" spans="2:13">
      <c r="B89" s="656"/>
      <c r="C89" s="243">
        <v>630</v>
      </c>
      <c r="D89" s="26" t="s">
        <v>350</v>
      </c>
      <c r="E89" s="299"/>
      <c r="F89" s="164"/>
      <c r="G89" s="461">
        <v>11550</v>
      </c>
      <c r="H89" s="476"/>
      <c r="I89" s="171"/>
      <c r="J89" s="389">
        <f t="shared" si="2"/>
        <v>0</v>
      </c>
    </row>
    <row r="90" spans="2:13">
      <c r="B90" s="656"/>
      <c r="C90" s="243">
        <v>630</v>
      </c>
      <c r="D90" s="26" t="s">
        <v>351</v>
      </c>
      <c r="E90" s="299"/>
      <c r="F90" s="164"/>
      <c r="G90" s="461">
        <v>11848</v>
      </c>
      <c r="H90" s="476"/>
      <c r="I90" s="171"/>
      <c r="J90" s="389">
        <f t="shared" si="2"/>
        <v>0</v>
      </c>
    </row>
    <row r="91" spans="2:13" hidden="1">
      <c r="B91" s="656"/>
      <c r="C91" s="243">
        <v>630</v>
      </c>
      <c r="D91" s="62" t="s">
        <v>273</v>
      </c>
      <c r="E91" s="132">
        <v>19980</v>
      </c>
      <c r="F91" s="175"/>
      <c r="G91" s="502"/>
      <c r="H91" s="502"/>
      <c r="I91" s="164"/>
      <c r="J91" s="389">
        <f t="shared" si="2"/>
        <v>0</v>
      </c>
    </row>
    <row r="92" spans="2:13">
      <c r="B92" s="656"/>
      <c r="C92" s="243">
        <v>630</v>
      </c>
      <c r="D92" s="62" t="s">
        <v>348</v>
      </c>
      <c r="E92" s="132"/>
      <c r="F92" s="175"/>
      <c r="G92" s="502">
        <f>27843.6+27890.27</f>
        <v>55733.869999999995</v>
      </c>
      <c r="H92" s="502">
        <v>17376</v>
      </c>
      <c r="I92" s="164"/>
      <c r="J92" s="389">
        <f t="shared" si="2"/>
        <v>0</v>
      </c>
    </row>
    <row r="93" spans="2:13">
      <c r="B93" s="656"/>
      <c r="C93" s="243">
        <v>630</v>
      </c>
      <c r="D93" s="62" t="s">
        <v>356</v>
      </c>
      <c r="E93" s="132"/>
      <c r="F93" s="175"/>
      <c r="G93" s="502">
        <v>41848</v>
      </c>
      <c r="H93" s="502"/>
      <c r="I93" s="164"/>
      <c r="J93" s="389">
        <f t="shared" si="2"/>
        <v>0</v>
      </c>
    </row>
    <row r="94" spans="2:13" hidden="1">
      <c r="B94" s="656"/>
      <c r="C94" s="243">
        <v>630</v>
      </c>
      <c r="D94" s="15" t="s">
        <v>275</v>
      </c>
      <c r="E94" s="299">
        <v>46200</v>
      </c>
      <c r="F94" s="164"/>
      <c r="G94" s="462"/>
      <c r="H94" s="462"/>
      <c r="I94" s="164"/>
      <c r="J94" s="389">
        <f t="shared" si="2"/>
        <v>0</v>
      </c>
    </row>
    <row r="95" spans="2:13" ht="12.75" hidden="1" customHeight="1">
      <c r="B95" s="656"/>
      <c r="C95" s="243">
        <v>630</v>
      </c>
      <c r="D95" s="15" t="s">
        <v>254</v>
      </c>
      <c r="E95" s="299"/>
      <c r="F95" s="164"/>
      <c r="G95" s="462"/>
      <c r="H95" s="462"/>
      <c r="I95" s="164"/>
      <c r="J95" s="389">
        <f t="shared" si="2"/>
        <v>0</v>
      </c>
    </row>
    <row r="96" spans="2:13" hidden="1">
      <c r="B96" s="656"/>
      <c r="C96" s="243">
        <v>630</v>
      </c>
      <c r="D96" s="15" t="s">
        <v>232</v>
      </c>
      <c r="E96" s="299">
        <v>1200</v>
      </c>
      <c r="F96" s="164">
        <f>25728+5970+25054</f>
        <v>56752</v>
      </c>
      <c r="G96" s="462"/>
      <c r="H96" s="462"/>
      <c r="I96" s="447"/>
      <c r="J96" s="389">
        <f t="shared" si="2"/>
        <v>0</v>
      </c>
      <c r="L96" s="487"/>
    </row>
    <row r="97" spans="2:12">
      <c r="B97" s="656"/>
      <c r="C97" s="243">
        <v>630</v>
      </c>
      <c r="D97" s="15" t="s">
        <v>308</v>
      </c>
      <c r="E97" s="299">
        <v>22691</v>
      </c>
      <c r="F97" s="164">
        <v>859</v>
      </c>
      <c r="G97" s="462"/>
      <c r="H97" s="462">
        <f>500+274.55</f>
        <v>774.55</v>
      </c>
      <c r="I97" s="164">
        <v>2000</v>
      </c>
      <c r="J97" s="389">
        <f t="shared" si="2"/>
        <v>38.729999999999997</v>
      </c>
    </row>
    <row r="98" spans="2:12" ht="13.5" customHeight="1">
      <c r="B98" s="656"/>
      <c r="C98" s="243">
        <v>630</v>
      </c>
      <c r="D98" s="15" t="s">
        <v>231</v>
      </c>
      <c r="E98" s="299"/>
      <c r="F98" s="164"/>
      <c r="G98" s="462">
        <v>931.15</v>
      </c>
      <c r="H98" s="462">
        <v>7872</v>
      </c>
      <c r="I98" s="164">
        <v>8000</v>
      </c>
      <c r="J98" s="389">
        <f t="shared" si="2"/>
        <v>98.4</v>
      </c>
      <c r="L98" s="487"/>
    </row>
    <row r="99" spans="2:12" ht="13.5" customHeight="1">
      <c r="B99" s="656"/>
      <c r="C99" s="243">
        <v>630</v>
      </c>
      <c r="D99" s="26" t="s">
        <v>363</v>
      </c>
      <c r="E99" s="26">
        <v>0</v>
      </c>
      <c r="F99" s="27"/>
      <c r="G99" s="474"/>
      <c r="H99" s="474"/>
      <c r="I99" s="27">
        <v>650</v>
      </c>
      <c r="J99" s="389">
        <f t="shared" si="2"/>
        <v>0</v>
      </c>
    </row>
    <row r="100" spans="2:12">
      <c r="B100" s="656"/>
      <c r="C100" s="243">
        <v>630</v>
      </c>
      <c r="D100" s="26" t="s">
        <v>236</v>
      </c>
      <c r="E100" s="306">
        <v>3148</v>
      </c>
      <c r="F100" s="27">
        <f>2890+1395+2974+8613+1646</f>
        <v>17518</v>
      </c>
      <c r="G100" s="477">
        <v>34575.230000000003</v>
      </c>
      <c r="H100" s="477">
        <v>22975.97</v>
      </c>
      <c r="I100" s="166">
        <v>32030</v>
      </c>
      <c r="J100" s="403">
        <f t="shared" ref="J100:J131" si="3">IF(I100=0,0,ROUND((H100/I100)*100,2))</f>
        <v>71.73</v>
      </c>
      <c r="L100" s="487"/>
    </row>
    <row r="101" spans="2:12" ht="13.8" thickBot="1">
      <c r="B101" s="660"/>
      <c r="C101" s="234">
        <v>640</v>
      </c>
      <c r="D101" s="17" t="s">
        <v>159</v>
      </c>
      <c r="E101" s="17">
        <v>146453</v>
      </c>
      <c r="F101" s="18">
        <v>144534</v>
      </c>
      <c r="G101" s="474">
        <f>99500+45034</f>
        <v>144534</v>
      </c>
      <c r="H101" s="474">
        <v>151477</v>
      </c>
      <c r="I101" s="27">
        <v>151477</v>
      </c>
      <c r="J101" s="403">
        <f t="shared" si="3"/>
        <v>100</v>
      </c>
      <c r="L101" s="205"/>
    </row>
    <row r="102" spans="2:12" ht="14.4" thickBot="1">
      <c r="B102" s="70" t="s">
        <v>34</v>
      </c>
      <c r="C102" s="675" t="s">
        <v>35</v>
      </c>
      <c r="D102" s="629"/>
      <c r="E102" s="33">
        <f>E103</f>
        <v>5609</v>
      </c>
      <c r="F102" s="33">
        <f>F103</f>
        <v>6003</v>
      </c>
      <c r="G102" s="381">
        <f>G103</f>
        <v>3745.53</v>
      </c>
      <c r="H102" s="381">
        <f>H103</f>
        <v>5989.44</v>
      </c>
      <c r="I102" s="33">
        <f>I103</f>
        <v>5600</v>
      </c>
      <c r="J102" s="358">
        <f t="shared" si="3"/>
        <v>106.95</v>
      </c>
    </row>
    <row r="103" spans="2:12" ht="13.8" thickBot="1">
      <c r="B103" s="69"/>
      <c r="C103" s="250"/>
      <c r="D103" s="8" t="s">
        <v>228</v>
      </c>
      <c r="E103" s="309">
        <v>5609</v>
      </c>
      <c r="F103" s="309">
        <v>6003</v>
      </c>
      <c r="G103" s="475">
        <v>3745.53</v>
      </c>
      <c r="H103" s="475">
        <v>5989.44</v>
      </c>
      <c r="I103" s="165">
        <v>5600</v>
      </c>
      <c r="J103" s="394">
        <f t="shared" si="3"/>
        <v>106.95</v>
      </c>
    </row>
    <row r="104" spans="2:12" ht="14.4" thickBot="1">
      <c r="B104" s="70" t="s">
        <v>142</v>
      </c>
      <c r="C104" s="675" t="s">
        <v>143</v>
      </c>
      <c r="D104" s="629"/>
      <c r="E104" s="63">
        <f>E105</f>
        <v>168880</v>
      </c>
      <c r="F104" s="63">
        <f>F105</f>
        <v>168880</v>
      </c>
      <c r="G104" s="473">
        <f>G105</f>
        <v>166668</v>
      </c>
      <c r="H104" s="473">
        <f>H105</f>
        <v>150364</v>
      </c>
      <c r="I104" s="63">
        <f>I105</f>
        <v>150364</v>
      </c>
      <c r="J104" s="360">
        <f t="shared" si="3"/>
        <v>100</v>
      </c>
    </row>
    <row r="105" spans="2:12" ht="13.8" thickBot="1">
      <c r="B105" s="69"/>
      <c r="C105" s="250">
        <v>640</v>
      </c>
      <c r="D105" s="8" t="s">
        <v>160</v>
      </c>
      <c r="E105" s="309">
        <v>168880</v>
      </c>
      <c r="F105" s="309">
        <v>168880</v>
      </c>
      <c r="G105" s="475">
        <v>166668</v>
      </c>
      <c r="H105" s="475">
        <v>150364</v>
      </c>
      <c r="I105" s="165">
        <v>150364</v>
      </c>
      <c r="J105" s="394">
        <f t="shared" si="3"/>
        <v>100</v>
      </c>
    </row>
    <row r="106" spans="2:12" ht="14.4" thickBot="1">
      <c r="B106" s="70" t="s">
        <v>144</v>
      </c>
      <c r="C106" s="675" t="s">
        <v>145</v>
      </c>
      <c r="D106" s="629"/>
      <c r="E106" s="63">
        <f>SUM(E107:E111)</f>
        <v>347786</v>
      </c>
      <c r="F106" s="63">
        <f>SUM(F107:F111)</f>
        <v>268221</v>
      </c>
      <c r="G106" s="473">
        <f>SUM(G107:G111)</f>
        <v>263798.23</v>
      </c>
      <c r="H106" s="473">
        <f>SUM(H107:H111)</f>
        <v>287887.32</v>
      </c>
      <c r="I106" s="63">
        <f>SUM(I107:I111)</f>
        <v>328509</v>
      </c>
      <c r="J106" s="360">
        <f t="shared" si="3"/>
        <v>87.63</v>
      </c>
    </row>
    <row r="107" spans="2:12">
      <c r="B107" s="661"/>
      <c r="C107" s="232">
        <v>610</v>
      </c>
      <c r="D107" s="13" t="s">
        <v>2</v>
      </c>
      <c r="E107" s="13">
        <v>24997</v>
      </c>
      <c r="F107" s="13">
        <v>24062</v>
      </c>
      <c r="G107" s="13">
        <v>22719.55</v>
      </c>
      <c r="H107" s="13">
        <v>28495.57</v>
      </c>
      <c r="I107" s="20">
        <v>28290</v>
      </c>
      <c r="J107" s="391">
        <f t="shared" si="3"/>
        <v>100.73</v>
      </c>
    </row>
    <row r="108" spans="2:12">
      <c r="B108" s="662"/>
      <c r="C108" s="233">
        <v>620</v>
      </c>
      <c r="D108" s="15" t="s">
        <v>3</v>
      </c>
      <c r="E108" s="15">
        <v>9316</v>
      </c>
      <c r="F108" s="15">
        <v>8959</v>
      </c>
      <c r="G108" s="15">
        <v>9337.6200000000008</v>
      </c>
      <c r="H108" s="15">
        <v>10210.040000000001</v>
      </c>
      <c r="I108" s="22">
        <v>10500</v>
      </c>
      <c r="J108" s="392">
        <f t="shared" si="3"/>
        <v>97.24</v>
      </c>
    </row>
    <row r="109" spans="2:12">
      <c r="B109" s="662"/>
      <c r="C109" s="233">
        <v>630</v>
      </c>
      <c r="D109" s="15" t="s">
        <v>61</v>
      </c>
      <c r="E109" s="15">
        <v>291329</v>
      </c>
      <c r="F109" s="15">
        <f>212898</f>
        <v>212898</v>
      </c>
      <c r="G109" s="15">
        <v>204427.59</v>
      </c>
      <c r="H109" s="15">
        <v>218239.71</v>
      </c>
      <c r="I109" s="22">
        <v>258777</v>
      </c>
      <c r="J109" s="392">
        <f t="shared" si="3"/>
        <v>84.34</v>
      </c>
    </row>
    <row r="110" spans="2:12">
      <c r="B110" s="662"/>
      <c r="C110" s="270">
        <v>640</v>
      </c>
      <c r="D110" s="24" t="s">
        <v>279</v>
      </c>
      <c r="E110" s="299"/>
      <c r="F110" s="299">
        <v>158</v>
      </c>
      <c r="G110" s="299">
        <v>169.47</v>
      </c>
      <c r="H110" s="299"/>
      <c r="I110" s="168"/>
      <c r="J110" s="392">
        <f t="shared" si="3"/>
        <v>0</v>
      </c>
    </row>
    <row r="111" spans="2:12" ht="13.8" thickBot="1">
      <c r="B111" s="663"/>
      <c r="C111" s="238">
        <v>640</v>
      </c>
      <c r="D111" s="109" t="s">
        <v>160</v>
      </c>
      <c r="E111" s="424">
        <v>22144</v>
      </c>
      <c r="F111" s="424">
        <v>22144</v>
      </c>
      <c r="G111" s="424">
        <v>27144</v>
      </c>
      <c r="H111" s="424">
        <v>30942</v>
      </c>
      <c r="I111" s="264">
        <v>30942</v>
      </c>
      <c r="J111" s="409">
        <f t="shared" si="3"/>
        <v>100</v>
      </c>
    </row>
    <row r="112" spans="2:12" ht="14.4" thickBot="1">
      <c r="B112" s="70" t="s">
        <v>36</v>
      </c>
      <c r="C112" s="675" t="s">
        <v>212</v>
      </c>
      <c r="D112" s="629"/>
      <c r="E112" s="63">
        <f>SUM(E113:E116)</f>
        <v>162661</v>
      </c>
      <c r="F112" s="63">
        <f>SUM(F113:F116)</f>
        <v>165913</v>
      </c>
      <c r="G112" s="473">
        <f>SUM(G113:G116)</f>
        <v>173111</v>
      </c>
      <c r="H112" s="473">
        <f>SUM(H113:H116)</f>
        <v>179007.07</v>
      </c>
      <c r="I112" s="63">
        <f>SUM(I113:I116)</f>
        <v>178685</v>
      </c>
      <c r="J112" s="360">
        <f t="shared" si="3"/>
        <v>100.18</v>
      </c>
    </row>
    <row r="113" spans="2:16">
      <c r="B113" s="657"/>
      <c r="C113" s="251"/>
      <c r="D113" s="13" t="s">
        <v>258</v>
      </c>
      <c r="E113" s="308">
        <v>118262</v>
      </c>
      <c r="F113" s="308">
        <v>116713</v>
      </c>
      <c r="G113" s="476">
        <v>116713</v>
      </c>
      <c r="H113" s="476">
        <v>132538</v>
      </c>
      <c r="I113" s="171">
        <v>132538</v>
      </c>
      <c r="J113" s="405">
        <f t="shared" si="3"/>
        <v>100</v>
      </c>
    </row>
    <row r="114" spans="2:16">
      <c r="B114" s="658"/>
      <c r="C114" s="572"/>
      <c r="D114" s="15" t="s">
        <v>364</v>
      </c>
      <c r="E114" s="299"/>
      <c r="F114" s="299"/>
      <c r="G114" s="462"/>
      <c r="H114" s="462">
        <v>3467.07</v>
      </c>
      <c r="I114" s="164">
        <v>3147</v>
      </c>
      <c r="J114" s="392">
        <f t="shared" si="3"/>
        <v>110.17</v>
      </c>
    </row>
    <row r="115" spans="2:16" hidden="1">
      <c r="B115" s="658"/>
      <c r="C115" s="572"/>
      <c r="D115" s="15" t="s">
        <v>331</v>
      </c>
      <c r="E115" s="299"/>
      <c r="F115" s="299"/>
      <c r="G115" s="462"/>
      <c r="H115" s="462"/>
      <c r="I115" s="164">
        <v>0</v>
      </c>
      <c r="J115" s="392">
        <f t="shared" si="3"/>
        <v>0</v>
      </c>
    </row>
    <row r="116" spans="2:16" ht="13.8" thickBot="1">
      <c r="B116" s="659"/>
      <c r="C116" s="287"/>
      <c r="D116" s="17" t="s">
        <v>220</v>
      </c>
      <c r="E116" s="306">
        <v>44399</v>
      </c>
      <c r="F116" s="306">
        <v>49200</v>
      </c>
      <c r="G116" s="477">
        <v>56398</v>
      </c>
      <c r="H116" s="477">
        <v>43002</v>
      </c>
      <c r="I116" s="166">
        <v>43000</v>
      </c>
      <c r="J116" s="403">
        <f t="shared" si="3"/>
        <v>100</v>
      </c>
    </row>
    <row r="117" spans="2:16" ht="14.4" thickBot="1">
      <c r="B117" s="64" t="s">
        <v>37</v>
      </c>
      <c r="C117" s="654" t="s">
        <v>38</v>
      </c>
      <c r="D117" s="615"/>
      <c r="E117" s="33">
        <f>SUM(E118:E126)</f>
        <v>332348</v>
      </c>
      <c r="F117" s="33">
        <f>SUM(F118:F126)</f>
        <v>315787</v>
      </c>
      <c r="G117" s="381">
        <f>303753.72+G118</f>
        <v>311192.31999999995</v>
      </c>
      <c r="H117" s="381">
        <f>SUM(H118:H126)</f>
        <v>355810.5</v>
      </c>
      <c r="I117" s="33">
        <f>SUM(I118:I126)</f>
        <v>348594</v>
      </c>
      <c r="J117" s="358">
        <f t="shared" si="3"/>
        <v>102.07</v>
      </c>
      <c r="M117" s="487"/>
    </row>
    <row r="118" spans="2:16">
      <c r="B118" s="657"/>
      <c r="C118" s="252"/>
      <c r="D118" s="23" t="s">
        <v>39</v>
      </c>
      <c r="E118" s="24">
        <v>7114</v>
      </c>
      <c r="F118" s="13">
        <f>1355+1143+4615</f>
        <v>7113</v>
      </c>
      <c r="G118" s="13">
        <v>7438.6</v>
      </c>
      <c r="H118" s="310">
        <f>2013.79+10889.5</f>
        <v>12903.29</v>
      </c>
      <c r="I118" s="163">
        <v>7000</v>
      </c>
      <c r="J118" s="388">
        <f t="shared" si="3"/>
        <v>184.33</v>
      </c>
    </row>
    <row r="119" spans="2:16" hidden="1">
      <c r="B119" s="658"/>
      <c r="C119" s="253"/>
      <c r="D119" s="24" t="s">
        <v>227</v>
      </c>
      <c r="E119" s="24"/>
      <c r="F119" s="32"/>
      <c r="G119" s="32"/>
      <c r="H119" s="311"/>
      <c r="I119" s="171">
        <v>0</v>
      </c>
      <c r="J119" s="405">
        <f t="shared" si="3"/>
        <v>0</v>
      </c>
    </row>
    <row r="120" spans="2:16">
      <c r="B120" s="658"/>
      <c r="C120" s="253"/>
      <c r="D120" s="24" t="s">
        <v>247</v>
      </c>
      <c r="E120" s="24">
        <v>10566</v>
      </c>
      <c r="F120" s="32">
        <v>3350</v>
      </c>
      <c r="G120" s="32">
        <v>4052</v>
      </c>
      <c r="H120" s="311">
        <f>971+1843.48+7740.79</f>
        <v>10555.27</v>
      </c>
      <c r="I120" s="171">
        <v>4500</v>
      </c>
      <c r="J120" s="405">
        <f t="shared" si="3"/>
        <v>234.56</v>
      </c>
    </row>
    <row r="121" spans="2:16">
      <c r="B121" s="658"/>
      <c r="C121" s="253"/>
      <c r="D121" s="24" t="s">
        <v>365</v>
      </c>
      <c r="E121" s="24"/>
      <c r="F121" s="32"/>
      <c r="G121" s="32"/>
      <c r="H121" s="319">
        <v>19000</v>
      </c>
      <c r="I121" s="171">
        <v>19000</v>
      </c>
      <c r="J121" s="405">
        <f t="shared" si="3"/>
        <v>100</v>
      </c>
    </row>
    <row r="122" spans="2:16">
      <c r="B122" s="658"/>
      <c r="C122" s="254"/>
      <c r="D122" s="24" t="s">
        <v>256</v>
      </c>
      <c r="E122" s="24">
        <v>11060</v>
      </c>
      <c r="F122" s="15">
        <v>9650</v>
      </c>
      <c r="G122" s="15">
        <v>9100</v>
      </c>
      <c r="H122" s="300">
        <v>10889.5</v>
      </c>
      <c r="I122" s="164">
        <v>11000</v>
      </c>
      <c r="J122" s="389">
        <f t="shared" si="3"/>
        <v>99</v>
      </c>
    </row>
    <row r="123" spans="2:16">
      <c r="B123" s="658"/>
      <c r="C123" s="254"/>
      <c r="D123" s="24" t="s">
        <v>209</v>
      </c>
      <c r="E123" s="24">
        <v>162681</v>
      </c>
      <c r="F123" s="15">
        <v>150333</v>
      </c>
      <c r="G123" s="15">
        <v>119218</v>
      </c>
      <c r="H123" s="584">
        <v>148153</v>
      </c>
      <c r="I123" s="16">
        <v>154913</v>
      </c>
      <c r="J123" s="389">
        <f t="shared" si="3"/>
        <v>95.64</v>
      </c>
      <c r="N123" s="205"/>
      <c r="P123" s="205"/>
    </row>
    <row r="124" spans="2:16">
      <c r="B124" s="658"/>
      <c r="C124" s="254"/>
      <c r="D124" s="24" t="s">
        <v>210</v>
      </c>
      <c r="E124" s="24">
        <v>82311</v>
      </c>
      <c r="F124" s="15">
        <v>93232</v>
      </c>
      <c r="G124" s="15">
        <v>109100</v>
      </c>
      <c r="H124" s="584">
        <v>88221</v>
      </c>
      <c r="I124" s="16">
        <v>88221</v>
      </c>
      <c r="J124" s="389">
        <f t="shared" si="3"/>
        <v>100</v>
      </c>
    </row>
    <row r="125" spans="2:16">
      <c r="B125" s="658"/>
      <c r="C125" s="277"/>
      <c r="D125" s="15" t="s">
        <v>211</v>
      </c>
      <c r="E125" s="15">
        <v>58616</v>
      </c>
      <c r="F125" s="15">
        <v>52109</v>
      </c>
      <c r="G125" s="15">
        <v>49442</v>
      </c>
      <c r="H125" s="584">
        <v>49808</v>
      </c>
      <c r="I125" s="16">
        <v>49808</v>
      </c>
      <c r="J125" s="389">
        <f t="shared" si="3"/>
        <v>100</v>
      </c>
    </row>
    <row r="126" spans="2:16" ht="13.8" thickBot="1">
      <c r="B126" s="659"/>
      <c r="C126" s="278"/>
      <c r="D126" s="109" t="s">
        <v>329</v>
      </c>
      <c r="E126" s="109"/>
      <c r="F126" s="109"/>
      <c r="G126" s="109">
        <v>12841.72</v>
      </c>
      <c r="H126" s="584">
        <f>14152+1889.44+239</f>
        <v>16280.44</v>
      </c>
      <c r="I126" s="425">
        <v>14152</v>
      </c>
      <c r="J126" s="409">
        <f t="shared" si="3"/>
        <v>115.04</v>
      </c>
    </row>
    <row r="127" spans="2:16" s="29" customFormat="1" ht="14.4" thickBot="1">
      <c r="B127" s="427" t="s">
        <v>150</v>
      </c>
      <c r="C127" s="654" t="s">
        <v>151</v>
      </c>
      <c r="D127" s="615"/>
      <c r="E127" s="63">
        <f>SUM(E128:E129)</f>
        <v>46108</v>
      </c>
      <c r="F127" s="63">
        <f>SUM(F128:F129)</f>
        <v>47470</v>
      </c>
      <c r="G127" s="381">
        <f>SUM(G128:G129)</f>
        <v>48334.8</v>
      </c>
      <c r="H127" s="381">
        <f>SUM(H128:H129)</f>
        <v>45244.800000000003</v>
      </c>
      <c r="I127" s="63">
        <f>SUM(I128:I129)</f>
        <v>46200</v>
      </c>
      <c r="J127" s="360">
        <f t="shared" si="3"/>
        <v>97.93</v>
      </c>
    </row>
    <row r="128" spans="2:16">
      <c r="B128" s="657"/>
      <c r="C128" s="232">
        <v>630</v>
      </c>
      <c r="D128" s="23" t="s">
        <v>152</v>
      </c>
      <c r="E128" s="13">
        <v>36600</v>
      </c>
      <c r="F128" s="13">
        <v>37500</v>
      </c>
      <c r="G128" s="460">
        <v>40890</v>
      </c>
      <c r="H128" s="478">
        <v>37800</v>
      </c>
      <c r="I128" s="163">
        <v>38000</v>
      </c>
      <c r="J128" s="388">
        <f t="shared" si="3"/>
        <v>99.47</v>
      </c>
    </row>
    <row r="129" spans="2:14" ht="13.8" thickBot="1">
      <c r="B129" s="659"/>
      <c r="C129" s="234">
        <v>630</v>
      </c>
      <c r="D129" s="25" t="s">
        <v>153</v>
      </c>
      <c r="E129" s="17">
        <v>9508</v>
      </c>
      <c r="F129" s="17">
        <v>9970</v>
      </c>
      <c r="G129" s="564">
        <v>7444.8</v>
      </c>
      <c r="H129" s="479">
        <v>7444.8</v>
      </c>
      <c r="I129" s="170">
        <v>8200</v>
      </c>
      <c r="J129" s="390">
        <f t="shared" si="3"/>
        <v>90.79</v>
      </c>
    </row>
    <row r="130" spans="2:14" s="28" customFormat="1" ht="14.4" thickBot="1">
      <c r="B130" s="70" t="s">
        <v>40</v>
      </c>
      <c r="C130" s="654" t="s">
        <v>41</v>
      </c>
      <c r="D130" s="615"/>
      <c r="E130" s="33">
        <f>SUM(E131:E133)</f>
        <v>65201</v>
      </c>
      <c r="F130" s="33">
        <f>SUM(F131:F133)</f>
        <v>82763</v>
      </c>
      <c r="G130" s="381">
        <f>SUM(G131:G133)</f>
        <v>85325.96</v>
      </c>
      <c r="H130" s="381">
        <f>SUM(H131:H133)</f>
        <v>98428.31</v>
      </c>
      <c r="I130" s="33">
        <f>SUM(I131:I133)</f>
        <v>97890</v>
      </c>
      <c r="J130" s="358">
        <f t="shared" si="3"/>
        <v>100.55</v>
      </c>
    </row>
    <row r="131" spans="2:14">
      <c r="B131" s="680"/>
      <c r="C131" s="683"/>
      <c r="D131" s="13" t="s">
        <v>184</v>
      </c>
      <c r="E131" s="303">
        <v>3787</v>
      </c>
      <c r="F131" s="303">
        <v>3290</v>
      </c>
      <c r="G131" s="466">
        <v>1483</v>
      </c>
      <c r="H131" s="466">
        <f>12142.95-3000</f>
        <v>9142.9500000000007</v>
      </c>
      <c r="I131" s="163">
        <v>8605</v>
      </c>
      <c r="J131" s="388">
        <f t="shared" si="3"/>
        <v>106.25</v>
      </c>
    </row>
    <row r="132" spans="2:14">
      <c r="B132" s="681"/>
      <c r="C132" s="684"/>
      <c r="D132" s="15" t="s">
        <v>226</v>
      </c>
      <c r="E132" s="299">
        <v>59118</v>
      </c>
      <c r="F132" s="299">
        <v>75103</v>
      </c>
      <c r="G132" s="462">
        <f>4634.96+76422</f>
        <v>81056.960000000006</v>
      </c>
      <c r="H132" s="462">
        <v>86285.36</v>
      </c>
      <c r="I132" s="299">
        <v>86285</v>
      </c>
      <c r="J132" s="389">
        <f t="shared" ref="J132:J163" si="4">IF(I132=0,0,ROUND((H132/I132)*100,2))</f>
        <v>100</v>
      </c>
      <c r="L132" s="487"/>
    </row>
    <row r="133" spans="2:14" ht="13.8" thickBot="1">
      <c r="B133" s="682"/>
      <c r="C133" s="685"/>
      <c r="D133" s="109" t="s">
        <v>183</v>
      </c>
      <c r="E133" s="424">
        <v>2296</v>
      </c>
      <c r="F133" s="424">
        <v>4370</v>
      </c>
      <c r="G133" s="607">
        <v>2786</v>
      </c>
      <c r="H133" s="607">
        <v>3000</v>
      </c>
      <c r="I133" s="264">
        <v>3000</v>
      </c>
      <c r="J133" s="409">
        <f t="shared" si="4"/>
        <v>100</v>
      </c>
    </row>
    <row r="134" spans="2:14" s="28" customFormat="1" ht="14.4" thickBot="1">
      <c r="B134" s="64" t="s">
        <v>69</v>
      </c>
      <c r="C134" s="654" t="s">
        <v>42</v>
      </c>
      <c r="D134" s="615"/>
      <c r="E134" s="33">
        <f>E135+E140</f>
        <v>4840194</v>
      </c>
      <c r="F134" s="33">
        <f>F135+F140</f>
        <v>4773475</v>
      </c>
      <c r="G134" s="381">
        <f>G135+G140</f>
        <v>4944992.8499999996</v>
      </c>
      <c r="H134" s="381">
        <f>H135+H140</f>
        <v>5255422.8499999996</v>
      </c>
      <c r="I134" s="33">
        <f>I135+I140</f>
        <v>5135731</v>
      </c>
      <c r="J134" s="358">
        <f t="shared" si="4"/>
        <v>102.33</v>
      </c>
    </row>
    <row r="135" spans="2:14" ht="13.8" thickBot="1">
      <c r="B135" s="680"/>
      <c r="C135" s="696" t="s">
        <v>43</v>
      </c>
      <c r="D135" s="697"/>
      <c r="E135" s="6">
        <f>SUM(E136:E139)</f>
        <v>38808</v>
      </c>
      <c r="F135" s="6">
        <f>SUM(F136:F139)</f>
        <v>36313</v>
      </c>
      <c r="G135" s="480">
        <f>SUM(G136:G139)</f>
        <v>35493.83</v>
      </c>
      <c r="H135" s="480">
        <f>SUM(H136:H139)</f>
        <v>51463.890000000007</v>
      </c>
      <c r="I135" s="6">
        <f>SUM(I136:I139)</f>
        <v>54298</v>
      </c>
      <c r="J135" s="406">
        <f t="shared" si="4"/>
        <v>94.78</v>
      </c>
    </row>
    <row r="136" spans="2:14">
      <c r="B136" s="681"/>
      <c r="C136" s="255">
        <v>610</v>
      </c>
      <c r="D136" s="32" t="s">
        <v>2</v>
      </c>
      <c r="E136" s="11">
        <v>26330</v>
      </c>
      <c r="F136" s="11">
        <v>25388</v>
      </c>
      <c r="G136" s="11">
        <v>24578.53</v>
      </c>
      <c r="H136" s="11">
        <v>33902.800000000003</v>
      </c>
      <c r="I136" s="206">
        <v>35568</v>
      </c>
      <c r="J136" s="407">
        <f t="shared" si="4"/>
        <v>95.32</v>
      </c>
    </row>
    <row r="137" spans="2:14">
      <c r="B137" s="681"/>
      <c r="C137" s="233">
        <v>620</v>
      </c>
      <c r="D137" s="15" t="s">
        <v>3</v>
      </c>
      <c r="E137" s="15">
        <v>9735</v>
      </c>
      <c r="F137" s="15">
        <v>9358</v>
      </c>
      <c r="G137" s="490">
        <v>9719.7999999999993</v>
      </c>
      <c r="H137" s="490">
        <v>11551.79</v>
      </c>
      <c r="I137" s="207">
        <v>11715</v>
      </c>
      <c r="J137" s="366">
        <f t="shared" si="4"/>
        <v>98.61</v>
      </c>
    </row>
    <row r="138" spans="2:14">
      <c r="B138" s="681"/>
      <c r="C138" s="270">
        <v>630</v>
      </c>
      <c r="D138" s="15" t="s">
        <v>61</v>
      </c>
      <c r="E138" s="15"/>
      <c r="F138" s="15">
        <v>1567</v>
      </c>
      <c r="G138" s="15">
        <v>1195.5</v>
      </c>
      <c r="H138" s="573">
        <v>1127.3</v>
      </c>
      <c r="I138" s="574">
        <v>2133</v>
      </c>
      <c r="J138" s="366">
        <f t="shared" si="4"/>
        <v>52.85</v>
      </c>
    </row>
    <row r="139" spans="2:14" ht="13.8" thickBot="1">
      <c r="B139" s="681"/>
      <c r="C139" s="575">
        <v>640</v>
      </c>
      <c r="D139" s="189" t="s">
        <v>279</v>
      </c>
      <c r="E139" s="11">
        <v>2743</v>
      </c>
      <c r="F139" s="11"/>
      <c r="G139" s="11"/>
      <c r="H139" s="26">
        <v>4882</v>
      </c>
      <c r="I139" s="27">
        <v>4882</v>
      </c>
      <c r="J139" s="403">
        <f t="shared" si="4"/>
        <v>100</v>
      </c>
    </row>
    <row r="140" spans="2:14" ht="13.8" thickBot="1">
      <c r="B140" s="681"/>
      <c r="C140" s="694" t="s">
        <v>155</v>
      </c>
      <c r="D140" s="695"/>
      <c r="E140" s="211">
        <f>SUM(E141:E148)</f>
        <v>4801386</v>
      </c>
      <c r="F140" s="211">
        <f>SUM(F141:F148)</f>
        <v>4737162</v>
      </c>
      <c r="G140" s="481">
        <f>SUM(G141:G148)</f>
        <v>4909499.0199999996</v>
      </c>
      <c r="H140" s="481">
        <f>SUM(H141:H148)</f>
        <v>5203958.96</v>
      </c>
      <c r="I140" s="211">
        <f>SUM(I141:I148)</f>
        <v>5081433</v>
      </c>
      <c r="J140" s="408">
        <f t="shared" si="4"/>
        <v>102.41</v>
      </c>
    </row>
    <row r="141" spans="2:14">
      <c r="B141" s="681"/>
      <c r="C141" s="683"/>
      <c r="D141" s="32" t="s">
        <v>221</v>
      </c>
      <c r="E141" s="308">
        <v>2241882</v>
      </c>
      <c r="F141" s="308">
        <f>2465470-80179</f>
        <v>2385291</v>
      </c>
      <c r="G141" s="476">
        <f>2336491.67+27236</f>
        <v>2363727.67</v>
      </c>
      <c r="H141" s="476">
        <v>2385302.7000000002</v>
      </c>
      <c r="I141" s="171">
        <v>2385304</v>
      </c>
      <c r="J141" s="405">
        <f t="shared" si="4"/>
        <v>100</v>
      </c>
      <c r="M141" s="487"/>
    </row>
    <row r="142" spans="2:14">
      <c r="B142" s="681"/>
      <c r="C142" s="684"/>
      <c r="D142" s="15" t="s">
        <v>222</v>
      </c>
      <c r="E142" s="299">
        <v>2169532</v>
      </c>
      <c r="F142" s="299">
        <v>1972245</v>
      </c>
      <c r="G142" s="462">
        <v>2097007.99</v>
      </c>
      <c r="H142" s="462">
        <v>2239643.29</v>
      </c>
      <c r="I142" s="164">
        <v>2165697</v>
      </c>
      <c r="J142" s="389">
        <f t="shared" si="4"/>
        <v>103.41</v>
      </c>
      <c r="L142" s="458"/>
      <c r="N142" s="487"/>
    </row>
    <row r="143" spans="2:14">
      <c r="B143" s="681"/>
      <c r="C143" s="684"/>
      <c r="D143" s="26" t="s">
        <v>357</v>
      </c>
      <c r="E143" s="306"/>
      <c r="F143" s="306"/>
      <c r="G143" s="477">
        <v>58464.77</v>
      </c>
      <c r="H143" s="477">
        <v>145561.9699999993</v>
      </c>
      <c r="I143" s="166">
        <v>96981</v>
      </c>
      <c r="J143" s="389">
        <f t="shared" si="4"/>
        <v>150.09</v>
      </c>
      <c r="M143" s="487"/>
    </row>
    <row r="144" spans="2:14" hidden="1">
      <c r="B144" s="681"/>
      <c r="C144" s="684"/>
      <c r="D144" s="26" t="s">
        <v>330</v>
      </c>
      <c r="E144" s="306"/>
      <c r="F144" s="306">
        <v>6822</v>
      </c>
      <c r="G144" s="477">
        <v>4779.37</v>
      </c>
      <c r="H144" s="477"/>
      <c r="I144" s="166"/>
      <c r="J144" s="389">
        <f t="shared" si="4"/>
        <v>0</v>
      </c>
    </row>
    <row r="145" spans="2:16" hidden="1">
      <c r="B145" s="681"/>
      <c r="C145" s="684"/>
      <c r="D145" s="26" t="s">
        <v>340</v>
      </c>
      <c r="E145" s="306">
        <v>23184</v>
      </c>
      <c r="F145" s="306"/>
      <c r="G145" s="477">
        <v>240.97</v>
      </c>
      <c r="H145" s="477"/>
      <c r="I145" s="166"/>
      <c r="J145" s="403">
        <f t="shared" si="4"/>
        <v>0</v>
      </c>
      <c r="P145" s="487"/>
    </row>
    <row r="146" spans="2:16" hidden="1">
      <c r="B146" s="681"/>
      <c r="C146" s="684"/>
      <c r="D146" s="26" t="s">
        <v>355</v>
      </c>
      <c r="E146" s="306"/>
      <c r="F146" s="306"/>
      <c r="G146" s="477">
        <v>8661.25</v>
      </c>
      <c r="H146" s="477"/>
      <c r="I146" s="166"/>
      <c r="J146" s="403">
        <f t="shared" si="4"/>
        <v>0</v>
      </c>
    </row>
    <row r="147" spans="2:16" hidden="1">
      <c r="B147" s="681"/>
      <c r="C147" s="684"/>
      <c r="D147" s="26" t="s">
        <v>235</v>
      </c>
      <c r="E147" s="306">
        <v>33868</v>
      </c>
      <c r="F147" s="306"/>
      <c r="G147" s="477"/>
      <c r="H147" s="477"/>
      <c r="I147" s="166"/>
      <c r="J147" s="403">
        <f t="shared" si="4"/>
        <v>0</v>
      </c>
    </row>
    <row r="148" spans="2:16" ht="13.8" thickBot="1">
      <c r="B148" s="682"/>
      <c r="C148" s="685"/>
      <c r="D148" s="17" t="s">
        <v>305</v>
      </c>
      <c r="E148" s="313">
        <v>332920</v>
      </c>
      <c r="F148" s="313">
        <v>372804</v>
      </c>
      <c r="G148" s="482">
        <f>367734+8883</f>
        <v>376617</v>
      </c>
      <c r="H148" s="482">
        <v>433451</v>
      </c>
      <c r="I148" s="170">
        <v>433451</v>
      </c>
      <c r="J148" s="390">
        <f t="shared" si="4"/>
        <v>100</v>
      </c>
    </row>
    <row r="149" spans="2:16" s="28" customFormat="1" ht="14.4" thickBot="1">
      <c r="B149" s="210" t="s">
        <v>66</v>
      </c>
      <c r="C149" s="675" t="s">
        <v>44</v>
      </c>
      <c r="D149" s="629"/>
      <c r="E149" s="63">
        <f>SUM(E150:E153)</f>
        <v>26182</v>
      </c>
      <c r="F149" s="63">
        <f>SUM(F150:F153)</f>
        <v>16605</v>
      </c>
      <c r="G149" s="473">
        <f>SUM(G150:G153)</f>
        <v>19312.66</v>
      </c>
      <c r="H149" s="473">
        <f>SUM(H150:H153)</f>
        <v>17232.5</v>
      </c>
      <c r="I149" s="63">
        <f>SUM(I150:I152)</f>
        <v>18157</v>
      </c>
      <c r="J149" s="360">
        <f t="shared" si="4"/>
        <v>94.91</v>
      </c>
      <c r="M149" s="585"/>
      <c r="N149" s="585"/>
    </row>
    <row r="150" spans="2:16" s="28" customFormat="1" ht="12.75" customHeight="1">
      <c r="B150" s="698"/>
      <c r="C150" s="271">
        <v>610</v>
      </c>
      <c r="D150" s="32" t="s">
        <v>2</v>
      </c>
      <c r="E150" s="32">
        <v>14984</v>
      </c>
      <c r="F150" s="32">
        <v>11095</v>
      </c>
      <c r="G150" s="483">
        <v>11946.75</v>
      </c>
      <c r="H150" s="483">
        <v>12156.96</v>
      </c>
      <c r="I150" s="31">
        <v>11882</v>
      </c>
      <c r="J150" s="405">
        <f t="shared" si="4"/>
        <v>102.31</v>
      </c>
    </row>
    <row r="151" spans="2:16" s="28" customFormat="1" ht="12.75" customHeight="1">
      <c r="B151" s="699"/>
      <c r="C151" s="270">
        <v>620</v>
      </c>
      <c r="D151" s="15" t="s">
        <v>3</v>
      </c>
      <c r="E151" s="15">
        <v>5972</v>
      </c>
      <c r="F151" s="15">
        <v>4227</v>
      </c>
      <c r="G151" s="461">
        <v>4902.95</v>
      </c>
      <c r="H151" s="461">
        <v>3941.03</v>
      </c>
      <c r="I151" s="16">
        <v>4400</v>
      </c>
      <c r="J151" s="389">
        <f t="shared" si="4"/>
        <v>89.57</v>
      </c>
    </row>
    <row r="152" spans="2:16" ht="12.75" customHeight="1">
      <c r="B152" s="699"/>
      <c r="C152" s="270">
        <v>630</v>
      </c>
      <c r="D152" s="15" t="s">
        <v>61</v>
      </c>
      <c r="E152" s="299">
        <v>1495</v>
      </c>
      <c r="F152" s="299">
        <v>1200</v>
      </c>
      <c r="G152" s="462">
        <v>931.46</v>
      </c>
      <c r="H152" s="462">
        <f>146.52+908.5</f>
        <v>1055.02</v>
      </c>
      <c r="I152" s="164">
        <v>1875</v>
      </c>
      <c r="J152" s="389">
        <f t="shared" si="4"/>
        <v>56.27</v>
      </c>
      <c r="N152" s="487"/>
    </row>
    <row r="153" spans="2:16" ht="12.75" customHeight="1" thickBot="1">
      <c r="B153" s="700"/>
      <c r="C153" s="234">
        <v>640</v>
      </c>
      <c r="D153" s="151" t="s">
        <v>279</v>
      </c>
      <c r="E153" s="302">
        <v>3731</v>
      </c>
      <c r="F153" s="302">
        <v>83</v>
      </c>
      <c r="G153" s="463">
        <v>1531.5</v>
      </c>
      <c r="H153" s="463">
        <v>79.489999999999995</v>
      </c>
      <c r="I153" s="188"/>
      <c r="J153" s="191">
        <f t="shared" si="4"/>
        <v>0</v>
      </c>
    </row>
    <row r="154" spans="2:16" s="28" customFormat="1" ht="14.4" thickBot="1">
      <c r="B154" s="64" t="s">
        <v>71</v>
      </c>
      <c r="C154" s="654" t="s">
        <v>45</v>
      </c>
      <c r="D154" s="615"/>
      <c r="E154" s="33">
        <f>E155+E161+E160</f>
        <v>51352</v>
      </c>
      <c r="F154" s="33">
        <f>F155+F161+F160</f>
        <v>57413</v>
      </c>
      <c r="G154" s="381">
        <f>G155+G161+G160</f>
        <v>142019.73000000001</v>
      </c>
      <c r="H154" s="381">
        <f>H155+H161+H160</f>
        <v>67235.890000000014</v>
      </c>
      <c r="I154" s="33">
        <f>I155+I161+I160</f>
        <v>67738</v>
      </c>
      <c r="J154" s="358">
        <f t="shared" si="4"/>
        <v>99.26</v>
      </c>
      <c r="M154" s="585"/>
      <c r="P154" s="585"/>
    </row>
    <row r="155" spans="2:16" ht="13.8" thickBot="1">
      <c r="B155" s="680"/>
      <c r="C155" s="696" t="s">
        <v>46</v>
      </c>
      <c r="D155" s="697"/>
      <c r="E155" s="6">
        <f>SUM(E156:E159)</f>
        <v>47897</v>
      </c>
      <c r="F155" s="6">
        <f>SUM(F156:F159)</f>
        <v>54913</v>
      </c>
      <c r="G155" s="480">
        <f>SUM(G156:G159)</f>
        <v>59991.65</v>
      </c>
      <c r="H155" s="480">
        <f>SUM(H156:H159)</f>
        <v>64735.890000000007</v>
      </c>
      <c r="I155" s="6">
        <f>SUM(I156:I158)</f>
        <v>65238</v>
      </c>
      <c r="J155" s="406">
        <f t="shared" si="4"/>
        <v>99.23</v>
      </c>
    </row>
    <row r="156" spans="2:16">
      <c r="B156" s="681"/>
      <c r="C156" s="255">
        <v>610</v>
      </c>
      <c r="D156" s="32" t="s">
        <v>2</v>
      </c>
      <c r="E156" s="308">
        <v>28630</v>
      </c>
      <c r="F156" s="32">
        <v>28741</v>
      </c>
      <c r="G156" s="32">
        <v>31950.86</v>
      </c>
      <c r="H156" s="311">
        <v>36896.54</v>
      </c>
      <c r="I156" s="171">
        <v>37706</v>
      </c>
      <c r="J156" s="405">
        <f t="shared" si="4"/>
        <v>97.85</v>
      </c>
    </row>
    <row r="157" spans="2:16">
      <c r="B157" s="681"/>
      <c r="C157" s="233">
        <v>620</v>
      </c>
      <c r="D157" s="15" t="s">
        <v>3</v>
      </c>
      <c r="E157" s="299">
        <v>10691</v>
      </c>
      <c r="F157" s="15">
        <v>10646</v>
      </c>
      <c r="G157" s="15">
        <v>12860.64</v>
      </c>
      <c r="H157" s="300">
        <v>12687.37</v>
      </c>
      <c r="I157" s="164">
        <v>13953</v>
      </c>
      <c r="J157" s="389">
        <f t="shared" si="4"/>
        <v>90.93</v>
      </c>
    </row>
    <row r="158" spans="2:16">
      <c r="B158" s="681"/>
      <c r="C158" s="243">
        <v>630</v>
      </c>
      <c r="D158" s="26" t="s">
        <v>61</v>
      </c>
      <c r="E158" s="26">
        <v>8576</v>
      </c>
      <c r="F158" s="26">
        <f>17951-2500</f>
        <v>15451</v>
      </c>
      <c r="G158" s="26">
        <v>15180.15</v>
      </c>
      <c r="H158" s="438">
        <f>12279.05+2744.13</f>
        <v>15023.18</v>
      </c>
      <c r="I158" s="27">
        <v>13579</v>
      </c>
      <c r="J158" s="403">
        <f t="shared" si="4"/>
        <v>110.64</v>
      </c>
    </row>
    <row r="159" spans="2:16" ht="13.8" thickBot="1">
      <c r="B159" s="681"/>
      <c r="C159" s="272">
        <v>640</v>
      </c>
      <c r="D159" s="25" t="s">
        <v>279</v>
      </c>
      <c r="E159" s="17"/>
      <c r="F159" s="17">
        <v>75</v>
      </c>
      <c r="G159" s="17"/>
      <c r="H159" s="312">
        <v>128.80000000000001</v>
      </c>
      <c r="I159" s="170"/>
      <c r="J159" s="390">
        <f t="shared" si="4"/>
        <v>0</v>
      </c>
    </row>
    <row r="160" spans="2:16" ht="13.5" customHeight="1" thickBot="1">
      <c r="B160" s="681"/>
      <c r="C160" s="238">
        <v>630</v>
      </c>
      <c r="D160" s="189" t="s">
        <v>315</v>
      </c>
      <c r="E160" s="109"/>
      <c r="F160" s="109"/>
      <c r="G160" s="109">
        <v>82028.08</v>
      </c>
      <c r="H160" s="304"/>
      <c r="I160" s="264"/>
      <c r="J160" s="409">
        <f t="shared" si="4"/>
        <v>0</v>
      </c>
    </row>
    <row r="161" spans="2:13" ht="13.8" thickBot="1">
      <c r="B161" s="681"/>
      <c r="C161" s="694" t="s">
        <v>47</v>
      </c>
      <c r="D161" s="695"/>
      <c r="E161" s="96">
        <f>E162</f>
        <v>3455</v>
      </c>
      <c r="F161" s="96">
        <f>F162</f>
        <v>2500</v>
      </c>
      <c r="G161" s="96"/>
      <c r="H161" s="586">
        <v>2500</v>
      </c>
      <c r="I161" s="96">
        <v>2500</v>
      </c>
      <c r="J161" s="410">
        <f t="shared" si="4"/>
        <v>100</v>
      </c>
      <c r="M161" s="487"/>
    </row>
    <row r="162" spans="2:13" ht="13.8" thickBot="1">
      <c r="B162" s="682"/>
      <c r="C162" s="256">
        <v>630</v>
      </c>
      <c r="D162" s="17" t="s">
        <v>61</v>
      </c>
      <c r="E162" s="313">
        <v>3455</v>
      </c>
      <c r="F162" s="17">
        <v>2500</v>
      </c>
      <c r="G162" s="17"/>
      <c r="H162" s="312">
        <v>2500</v>
      </c>
      <c r="I162" s="170">
        <v>2500</v>
      </c>
      <c r="J162" s="390">
        <f t="shared" si="4"/>
        <v>100</v>
      </c>
    </row>
    <row r="163" spans="2:13" s="29" customFormat="1" ht="14.4" thickBot="1">
      <c r="B163" s="259" t="s">
        <v>72</v>
      </c>
      <c r="C163" s="675" t="s">
        <v>73</v>
      </c>
      <c r="D163" s="629"/>
      <c r="E163" s="63">
        <f>SUM(E164:E168)</f>
        <v>141580</v>
      </c>
      <c r="F163" s="63">
        <f>SUM(F164:F168)</f>
        <v>144793</v>
      </c>
      <c r="G163" s="473">
        <f>SUM(G164:G168)</f>
        <v>138341.56</v>
      </c>
      <c r="H163" s="473">
        <f>SUM(H164:H168)</f>
        <v>147764.81</v>
      </c>
      <c r="I163" s="63">
        <f>SUM(I164:I168)</f>
        <v>159216</v>
      </c>
      <c r="J163" s="360">
        <f t="shared" si="4"/>
        <v>92.81</v>
      </c>
    </row>
    <row r="164" spans="2:13">
      <c r="B164" s="680"/>
      <c r="C164" s="232">
        <v>610</v>
      </c>
      <c r="D164" s="13" t="s">
        <v>2</v>
      </c>
      <c r="E164" s="13">
        <v>93404</v>
      </c>
      <c r="F164" s="14">
        <v>93846</v>
      </c>
      <c r="G164" s="460">
        <v>85213.93</v>
      </c>
      <c r="H164" s="460">
        <v>101710.97</v>
      </c>
      <c r="I164" s="14">
        <v>102181</v>
      </c>
      <c r="J164" s="388">
        <f t="shared" ref="J164:J185" si="5">IF(I164=0,0,ROUND((H164/I164)*100,2))</f>
        <v>99.54</v>
      </c>
    </row>
    <row r="165" spans="2:13">
      <c r="B165" s="681"/>
      <c r="C165" s="233">
        <v>620</v>
      </c>
      <c r="D165" s="15" t="s">
        <v>3</v>
      </c>
      <c r="E165" s="15">
        <v>32703</v>
      </c>
      <c r="F165" s="16">
        <v>32877</v>
      </c>
      <c r="G165" s="461">
        <v>32579.829999999994</v>
      </c>
      <c r="H165" s="461">
        <v>29560.18</v>
      </c>
      <c r="I165" s="16">
        <v>36195</v>
      </c>
      <c r="J165" s="389">
        <f t="shared" si="5"/>
        <v>81.67</v>
      </c>
    </row>
    <row r="166" spans="2:13">
      <c r="B166" s="681"/>
      <c r="C166" s="243">
        <v>630</v>
      </c>
      <c r="D166" s="26" t="s">
        <v>61</v>
      </c>
      <c r="E166" s="306">
        <v>14133</v>
      </c>
      <c r="F166" s="166">
        <v>17748</v>
      </c>
      <c r="G166" s="477">
        <v>20156.86</v>
      </c>
      <c r="H166" s="477">
        <v>15870.11</v>
      </c>
      <c r="I166" s="166">
        <v>20840</v>
      </c>
      <c r="J166" s="403">
        <f t="shared" si="5"/>
        <v>76.150000000000006</v>
      </c>
    </row>
    <row r="167" spans="2:13" ht="13.8" thickBot="1">
      <c r="B167" s="681"/>
      <c r="C167" s="234">
        <v>640</v>
      </c>
      <c r="D167" s="17" t="s">
        <v>279</v>
      </c>
      <c r="E167" s="313">
        <v>1340</v>
      </c>
      <c r="F167" s="170">
        <v>322</v>
      </c>
      <c r="G167" s="482">
        <v>390.94</v>
      </c>
      <c r="H167" s="482">
        <v>623.54999999999995</v>
      </c>
      <c r="I167" s="170"/>
      <c r="J167" s="390">
        <f t="shared" si="5"/>
        <v>0</v>
      </c>
    </row>
    <row r="168" spans="2:13" ht="13.8" hidden="1" thickBot="1">
      <c r="B168" s="682"/>
      <c r="C168" s="238">
        <v>630</v>
      </c>
      <c r="D168" s="109" t="s">
        <v>223</v>
      </c>
      <c r="E168" s="424"/>
      <c r="F168" s="9"/>
      <c r="G168" s="565"/>
      <c r="H168" s="472"/>
      <c r="I168" s="264"/>
      <c r="J168" s="409">
        <f t="shared" si="5"/>
        <v>0</v>
      </c>
    </row>
    <row r="169" spans="2:13" s="29" customFormat="1" ht="14.4" thickBot="1">
      <c r="B169" s="426" t="s">
        <v>48</v>
      </c>
      <c r="C169" s="675" t="s">
        <v>74</v>
      </c>
      <c r="D169" s="629"/>
      <c r="E169" s="63">
        <f>SUM(E170:E173)</f>
        <v>33860</v>
      </c>
      <c r="F169" s="63">
        <f>SUM(F170:F173)</f>
        <v>33843</v>
      </c>
      <c r="G169" s="381">
        <f>SUM(G170:G173)</f>
        <v>35020.590000000004</v>
      </c>
      <c r="H169" s="381">
        <f>SUM(H170:H173)</f>
        <v>40552.410000000003</v>
      </c>
      <c r="I169" s="63">
        <f>SUM(I170:I172)</f>
        <v>34440</v>
      </c>
      <c r="J169" s="360">
        <f t="shared" si="5"/>
        <v>117.75</v>
      </c>
    </row>
    <row r="170" spans="2:13" s="29" customFormat="1" ht="12.75" customHeight="1">
      <c r="B170" s="691"/>
      <c r="C170" s="232">
        <v>610</v>
      </c>
      <c r="D170" s="23" t="s">
        <v>2</v>
      </c>
      <c r="E170" s="23">
        <v>19537</v>
      </c>
      <c r="F170" s="14">
        <v>19331</v>
      </c>
      <c r="G170" s="460">
        <v>19931.3</v>
      </c>
      <c r="H170" s="455">
        <v>21474.28</v>
      </c>
      <c r="I170" s="14">
        <v>20058</v>
      </c>
      <c r="J170" s="388">
        <f t="shared" si="5"/>
        <v>107.06</v>
      </c>
    </row>
    <row r="171" spans="2:13" s="29" customFormat="1" ht="12.75" customHeight="1">
      <c r="B171" s="692"/>
      <c r="C171" s="233">
        <v>620</v>
      </c>
      <c r="D171" s="24" t="s">
        <v>3</v>
      </c>
      <c r="E171" s="24">
        <v>7857</v>
      </c>
      <c r="F171" s="16">
        <v>7510</v>
      </c>
      <c r="G171" s="461">
        <v>8330.59</v>
      </c>
      <c r="H171" s="456">
        <v>7982.2</v>
      </c>
      <c r="I171" s="16">
        <v>7649</v>
      </c>
      <c r="J171" s="389">
        <f t="shared" si="5"/>
        <v>104.36</v>
      </c>
    </row>
    <row r="172" spans="2:13" s="29" customFormat="1" ht="12.75" customHeight="1">
      <c r="B172" s="692"/>
      <c r="C172" s="233">
        <v>630</v>
      </c>
      <c r="D172" s="24" t="s">
        <v>61</v>
      </c>
      <c r="E172" s="24">
        <v>6466</v>
      </c>
      <c r="F172" s="16">
        <v>6899</v>
      </c>
      <c r="G172" s="461">
        <v>6669.76</v>
      </c>
      <c r="H172" s="457">
        <v>10990.38</v>
      </c>
      <c r="I172" s="164">
        <v>6733</v>
      </c>
      <c r="J172" s="389">
        <f t="shared" si="5"/>
        <v>163.22999999999999</v>
      </c>
    </row>
    <row r="173" spans="2:13" s="29" customFormat="1" ht="12.75" customHeight="1" thickBot="1">
      <c r="B173" s="693"/>
      <c r="C173" s="238">
        <v>640</v>
      </c>
      <c r="D173" s="189" t="s">
        <v>279</v>
      </c>
      <c r="E173" s="189"/>
      <c r="F173" s="425">
        <v>103</v>
      </c>
      <c r="G173" s="464">
        <v>88.94</v>
      </c>
      <c r="H173" s="484">
        <v>105.55</v>
      </c>
      <c r="I173" s="18"/>
      <c r="J173" s="390">
        <f t="shared" si="5"/>
        <v>0</v>
      </c>
    </row>
    <row r="174" spans="2:13" s="286" customFormat="1" ht="30.75" customHeight="1" thickBot="1">
      <c r="B174" s="158" t="s">
        <v>49</v>
      </c>
      <c r="C174" s="687" t="s">
        <v>70</v>
      </c>
      <c r="D174" s="688"/>
      <c r="E174" s="159">
        <f>E175+E180+E181+E182+E183+E184+E187+E188+E185</f>
        <v>235945</v>
      </c>
      <c r="F174" s="159">
        <f>F175+F180+F181+F182+F183+F184+F187+F188+F185</f>
        <v>566990</v>
      </c>
      <c r="G174" s="485">
        <f>G175+G180+G181+G182+G183+G184+G187+G188+G185</f>
        <v>568843.26</v>
      </c>
      <c r="H174" s="485">
        <f>H175+H180+H181+H182+H183+H184+H187+H188+H185</f>
        <v>470939.23</v>
      </c>
      <c r="I174" s="159">
        <f>I175+I180+I181+I182+I183+I184+I187+I188+I185</f>
        <v>421115</v>
      </c>
      <c r="J174" s="411">
        <f t="shared" si="5"/>
        <v>111.83</v>
      </c>
    </row>
    <row r="175" spans="2:13" ht="13.8" thickBot="1">
      <c r="B175" s="686"/>
      <c r="C175" s="689" t="s">
        <v>50</v>
      </c>
      <c r="D175" s="690"/>
      <c r="E175" s="180">
        <f>SUM(E176:E179)</f>
        <v>41385</v>
      </c>
      <c r="F175" s="180">
        <f>SUM(F176:F179)</f>
        <v>80229</v>
      </c>
      <c r="G175" s="486">
        <f>SUM(G176:G179)</f>
        <v>66952.969999999987</v>
      </c>
      <c r="H175" s="486">
        <f>SUM(H176:H179)</f>
        <v>85074.98</v>
      </c>
      <c r="I175" s="180">
        <f>SUM(I176:I178)</f>
        <v>91822</v>
      </c>
      <c r="J175" s="412">
        <f t="shared" si="5"/>
        <v>92.65</v>
      </c>
    </row>
    <row r="176" spans="2:13">
      <c r="B176" s="686"/>
      <c r="C176" s="255">
        <v>610</v>
      </c>
      <c r="D176" s="32" t="s">
        <v>2</v>
      </c>
      <c r="E176" s="32">
        <v>27310</v>
      </c>
      <c r="F176" s="31">
        <f>53671+1149</f>
        <v>54820</v>
      </c>
      <c r="G176" s="483">
        <v>43998.71</v>
      </c>
      <c r="H176" s="587">
        <v>61007.02</v>
      </c>
      <c r="I176" s="196">
        <v>62760</v>
      </c>
      <c r="J176" s="413">
        <f t="shared" si="5"/>
        <v>97.21</v>
      </c>
    </row>
    <row r="177" spans="2:15">
      <c r="B177" s="686"/>
      <c r="C177" s="233">
        <v>620</v>
      </c>
      <c r="D177" s="15" t="s">
        <v>3</v>
      </c>
      <c r="E177" s="299">
        <v>10254</v>
      </c>
      <c r="F177" s="16">
        <f>297+19317</f>
        <v>19614</v>
      </c>
      <c r="G177" s="461">
        <v>18142.439999999999</v>
      </c>
      <c r="H177" s="457">
        <v>19303.48</v>
      </c>
      <c r="I177" s="265">
        <v>21002</v>
      </c>
      <c r="J177" s="414">
        <f t="shared" si="5"/>
        <v>91.91</v>
      </c>
    </row>
    <row r="178" spans="2:15">
      <c r="B178" s="686"/>
      <c r="C178" s="270">
        <v>630</v>
      </c>
      <c r="D178" s="15" t="s">
        <v>61</v>
      </c>
      <c r="E178" s="302">
        <v>3821</v>
      </c>
      <c r="F178" s="437">
        <v>5011</v>
      </c>
      <c r="G178" s="467">
        <v>4277.1499999999996</v>
      </c>
      <c r="H178" s="458">
        <v>4479.7</v>
      </c>
      <c r="I178" s="317">
        <v>8060</v>
      </c>
      <c r="J178" s="415">
        <f t="shared" si="5"/>
        <v>55.58</v>
      </c>
    </row>
    <row r="179" spans="2:15" ht="13.8" thickBot="1">
      <c r="B179" s="686"/>
      <c r="C179" s="238">
        <v>640</v>
      </c>
      <c r="D179" s="189" t="s">
        <v>279</v>
      </c>
      <c r="E179" s="17"/>
      <c r="F179" s="18">
        <v>784</v>
      </c>
      <c r="G179" s="564">
        <v>534.66999999999996</v>
      </c>
      <c r="H179" s="479">
        <v>284.77999999999997</v>
      </c>
      <c r="I179" s="318"/>
      <c r="J179" s="416">
        <f t="shared" si="5"/>
        <v>0</v>
      </c>
    </row>
    <row r="180" spans="2:15">
      <c r="B180" s="686"/>
      <c r="C180" s="257"/>
      <c r="D180" s="73" t="s">
        <v>51</v>
      </c>
      <c r="E180" s="32">
        <v>11343</v>
      </c>
      <c r="F180" s="31">
        <v>6313</v>
      </c>
      <c r="G180" s="483">
        <v>5404.14</v>
      </c>
      <c r="H180" s="588">
        <v>4327.68</v>
      </c>
      <c r="I180" s="171">
        <v>7000</v>
      </c>
      <c r="J180" s="405">
        <f t="shared" si="5"/>
        <v>61.82</v>
      </c>
      <c r="O180" s="487"/>
    </row>
    <row r="181" spans="2:15" hidden="1">
      <c r="B181" s="686"/>
      <c r="C181" s="258"/>
      <c r="D181" s="24" t="s">
        <v>259</v>
      </c>
      <c r="E181" s="15"/>
      <c r="F181" s="16"/>
      <c r="G181" s="461"/>
      <c r="H181" s="457"/>
      <c r="I181" s="164">
        <v>0</v>
      </c>
      <c r="J181" s="389">
        <f t="shared" si="5"/>
        <v>0</v>
      </c>
    </row>
    <row r="182" spans="2:15" ht="12.75" hidden="1" customHeight="1">
      <c r="B182" s="686"/>
      <c r="C182" s="258">
        <v>630</v>
      </c>
      <c r="D182" s="24" t="s">
        <v>259</v>
      </c>
      <c r="E182" s="15"/>
      <c r="F182" s="16"/>
      <c r="G182" s="461"/>
      <c r="H182" s="457"/>
      <c r="I182" s="164">
        <v>0</v>
      </c>
      <c r="J182" s="389">
        <f t="shared" si="5"/>
        <v>0</v>
      </c>
    </row>
    <row r="183" spans="2:15">
      <c r="B183" s="686"/>
      <c r="C183" s="258">
        <v>630</v>
      </c>
      <c r="D183" s="24" t="s">
        <v>52</v>
      </c>
      <c r="E183" s="15">
        <v>95746</v>
      </c>
      <c r="F183" s="16">
        <f>5530+80179</f>
        <v>85709</v>
      </c>
      <c r="G183" s="461">
        <v>56320.98000000001</v>
      </c>
      <c r="H183" s="457">
        <v>47905.93</v>
      </c>
      <c r="I183" s="164">
        <v>42819</v>
      </c>
      <c r="J183" s="389">
        <f t="shared" si="5"/>
        <v>111.88</v>
      </c>
    </row>
    <row r="184" spans="2:15">
      <c r="B184" s="686"/>
      <c r="C184" s="258">
        <v>630</v>
      </c>
      <c r="D184" s="24" t="s">
        <v>259</v>
      </c>
      <c r="E184" s="15"/>
      <c r="F184" s="16"/>
      <c r="G184" s="461"/>
      <c r="H184" s="457"/>
      <c r="I184" s="164">
        <v>5000</v>
      </c>
      <c r="J184" s="389">
        <f t="shared" si="5"/>
        <v>0</v>
      </c>
      <c r="M184" s="487"/>
    </row>
    <row r="185" spans="2:15">
      <c r="B185" s="686"/>
      <c r="C185" s="258"/>
      <c r="D185" s="24" t="s">
        <v>293</v>
      </c>
      <c r="E185" s="15">
        <v>85602</v>
      </c>
      <c r="F185" s="16">
        <f>4915+388479</f>
        <v>393394</v>
      </c>
      <c r="G185" s="461">
        <v>426977.77</v>
      </c>
      <c r="H185" s="457">
        <f>71408.78+226722.57+1068.6+23839.89</f>
        <v>323039.83999999997</v>
      </c>
      <c r="I185" s="174">
        <v>263900</v>
      </c>
      <c r="J185" s="194">
        <f t="shared" si="5"/>
        <v>122.41</v>
      </c>
    </row>
    <row r="186" spans="2:15">
      <c r="B186" s="686"/>
      <c r="C186" s="258"/>
      <c r="D186" s="24" t="s">
        <v>323</v>
      </c>
      <c r="E186" s="15"/>
      <c r="F186" s="16"/>
      <c r="G186" s="461"/>
      <c r="H186" s="457">
        <v>6176.6</v>
      </c>
      <c r="I186" s="174"/>
      <c r="J186" s="194"/>
    </row>
    <row r="187" spans="2:15">
      <c r="B187" s="686"/>
      <c r="C187" s="258">
        <v>630</v>
      </c>
      <c r="D187" s="24" t="s">
        <v>53</v>
      </c>
      <c r="E187" s="15">
        <v>1809</v>
      </c>
      <c r="F187" s="16">
        <v>1345</v>
      </c>
      <c r="G187" s="461">
        <f>13097.4+11221.6-11241.6</f>
        <v>13077.4</v>
      </c>
      <c r="H187" s="457">
        <v>10590.8</v>
      </c>
      <c r="I187" s="164">
        <v>10574</v>
      </c>
      <c r="J187" s="389">
        <f>IF(I187=0,0,ROUND((H187/I187)*100,2))</f>
        <v>100.16</v>
      </c>
    </row>
    <row r="188" spans="2:15" ht="13.8" thickBot="1">
      <c r="B188" s="686"/>
      <c r="C188" s="258">
        <v>630</v>
      </c>
      <c r="D188" s="24" t="s">
        <v>54</v>
      </c>
      <c r="E188" s="316">
        <v>60</v>
      </c>
      <c r="F188" s="446"/>
      <c r="G188" s="589">
        <v>110</v>
      </c>
      <c r="H188" s="457"/>
      <c r="I188" s="164"/>
      <c r="J188" s="389">
        <f>IF(I188=0,0,ROUND((H188/I188)*100,2))</f>
        <v>0</v>
      </c>
    </row>
    <row r="189" spans="2:15" s="30" customFormat="1" ht="16.8" thickTop="1" thickBot="1">
      <c r="B189" s="616" t="s">
        <v>57</v>
      </c>
      <c r="C189" s="617"/>
      <c r="D189" s="618"/>
      <c r="E189" s="72">
        <f>E4+E9+E13+E24+E26+E28+E33+E35+E40+E46+E51+E65+E69+E75+E80+E85+E102+E104+E112+E117+E127+E130+E134+E149+E154+E163+E169+E174+E106+E18+E42+E73</f>
        <v>9090417</v>
      </c>
      <c r="F189" s="72">
        <f>F4+F9+F13+F24+F26+F28+F33+F35+F40+F46+F51+F65+F69+F75+F80+F85+F102+F104+F112+F117+F127+F130+F134+F149+F154+F163+F169+F174+F106+F18+F42+F73</f>
        <v>8934542</v>
      </c>
      <c r="G189" s="459">
        <f>G4+G9+G13+G24+G26+G28+G33+G35+G40+G46+G51+G65+G69+G75+G80+G85+G102+G104+G112+G117+G127+G130+G134+G149+G154+G163+G169+G174+G106+G18+G42+G73</f>
        <v>9572545.3800000008</v>
      </c>
      <c r="H189" s="459">
        <f>H4+H9+H13+H24+H26+H28+H33+H35+H40+H46+H51+H65+H69+H75+H80+H85+H102+H104+H112+H117+H127+H130+H134+H149+H154+H163+H169+H174+H106+H18+H42+H73</f>
        <v>9554914.7999999989</v>
      </c>
      <c r="I189" s="72">
        <f>I4+I9+I13+I24+I26+I28+I33+I35+I40+I46+I51+I65+I69+I75+I80+I85+I102+I104+I112+I117+I127+I130+I134+I149+I154+I163+I169+I174+I106+I18+I42+I73</f>
        <v>9524646</v>
      </c>
      <c r="J189" s="367">
        <f>IF(I189=0,0,ROUND((H189/I189)*100,2))</f>
        <v>100.32</v>
      </c>
      <c r="N189" s="590"/>
    </row>
    <row r="190" spans="2:15" ht="13.8" thickTop="1"/>
    <row r="192" spans="2:15" ht="16.5" customHeight="1">
      <c r="B192" s="326"/>
      <c r="C192" s="326"/>
      <c r="D192" s="326"/>
    </row>
    <row r="193" spans="2:13" ht="12.75" customHeight="1">
      <c r="B193" s="326"/>
      <c r="C193" s="326"/>
      <c r="D193" s="326"/>
      <c r="G193" s="487"/>
      <c r="H193" s="487"/>
      <c r="J193" s="205"/>
    </row>
    <row r="194" spans="2:13" ht="12.75" customHeight="1">
      <c r="B194" s="326"/>
      <c r="C194" s="326"/>
      <c r="D194" s="326"/>
      <c r="E194" s="205"/>
      <c r="J194" s="205"/>
    </row>
    <row r="195" spans="2:13" ht="12.75" customHeight="1">
      <c r="B195" s="326"/>
      <c r="C195" s="326"/>
      <c r="D195" s="326"/>
      <c r="F195" s="205"/>
      <c r="G195" s="205"/>
      <c r="H195" s="205"/>
    </row>
    <row r="196" spans="2:13" ht="12.75" customHeight="1">
      <c r="B196" s="326"/>
      <c r="C196" s="326"/>
      <c r="D196" s="326"/>
    </row>
    <row r="197" spans="2:13" ht="12.75" customHeight="1">
      <c r="M197" s="548"/>
    </row>
    <row r="198" spans="2:13" ht="13.8">
      <c r="B198" s="12"/>
      <c r="C198" s="81"/>
      <c r="D198" s="12"/>
      <c r="E198" s="12"/>
      <c r="F198" s="320"/>
      <c r="G198" s="320"/>
      <c r="H198" s="320"/>
      <c r="I198" s="142"/>
    </row>
    <row r="200" spans="2:13">
      <c r="F200" s="205"/>
      <c r="G200" s="205"/>
      <c r="H200" s="205"/>
    </row>
  </sheetData>
  <mergeCells count="76">
    <mergeCell ref="C154:D154"/>
    <mergeCell ref="C135:D135"/>
    <mergeCell ref="C149:D149"/>
    <mergeCell ref="C140:D140"/>
    <mergeCell ref="B135:B148"/>
    <mergeCell ref="B150:B153"/>
    <mergeCell ref="C141:C148"/>
    <mergeCell ref="C161:D161"/>
    <mergeCell ref="B164:B168"/>
    <mergeCell ref="C163:D163"/>
    <mergeCell ref="B155:B162"/>
    <mergeCell ref="C155:D155"/>
    <mergeCell ref="B175:B188"/>
    <mergeCell ref="C174:D174"/>
    <mergeCell ref="C175:D175"/>
    <mergeCell ref="B170:B173"/>
    <mergeCell ref="C169:D169"/>
    <mergeCell ref="C130:D130"/>
    <mergeCell ref="B128:B129"/>
    <mergeCell ref="B131:B133"/>
    <mergeCell ref="C117:D117"/>
    <mergeCell ref="C131:C133"/>
    <mergeCell ref="C102:D102"/>
    <mergeCell ref="B81:B84"/>
    <mergeCell ref="B86:B101"/>
    <mergeCell ref="B118:B126"/>
    <mergeCell ref="B113:B116"/>
    <mergeCell ref="B107:B111"/>
    <mergeCell ref="C134:D134"/>
    <mergeCell ref="C112:D112"/>
    <mergeCell ref="C127:D127"/>
    <mergeCell ref="B52:B64"/>
    <mergeCell ref="B66:B68"/>
    <mergeCell ref="C65:D65"/>
    <mergeCell ref="B70:B72"/>
    <mergeCell ref="C75:D75"/>
    <mergeCell ref="C69:D69"/>
    <mergeCell ref="C52:D52"/>
    <mergeCell ref="C73:D73"/>
    <mergeCell ref="B76:B79"/>
    <mergeCell ref="C106:D106"/>
    <mergeCell ref="C104:D104"/>
    <mergeCell ref="C85:D85"/>
    <mergeCell ref="C28:D28"/>
    <mergeCell ref="C42:D42"/>
    <mergeCell ref="C46:D46"/>
    <mergeCell ref="C80:D80"/>
    <mergeCell ref="C51:D51"/>
    <mergeCell ref="B1:D1"/>
    <mergeCell ref="B2:B3"/>
    <mergeCell ref="C2:C3"/>
    <mergeCell ref="D2:D3"/>
    <mergeCell ref="B5:B8"/>
    <mergeCell ref="J2:J3"/>
    <mergeCell ref="I2:I3"/>
    <mergeCell ref="C4:D4"/>
    <mergeCell ref="C13:D13"/>
    <mergeCell ref="C9:D9"/>
    <mergeCell ref="G2:G3"/>
    <mergeCell ref="H2:H3"/>
    <mergeCell ref="B189:D189"/>
    <mergeCell ref="F2:F3"/>
    <mergeCell ref="E2:E3"/>
    <mergeCell ref="C33:D33"/>
    <mergeCell ref="B29:B31"/>
    <mergeCell ref="B14:B17"/>
    <mergeCell ref="B43:B45"/>
    <mergeCell ref="C18:D18"/>
    <mergeCell ref="C40:D40"/>
    <mergeCell ref="C24:D24"/>
    <mergeCell ref="C35:D35"/>
    <mergeCell ref="B19:B23"/>
    <mergeCell ref="B10:B12"/>
    <mergeCell ref="B36:B39"/>
    <mergeCell ref="B47:B50"/>
    <mergeCell ref="C26:D26"/>
  </mergeCells>
  <phoneticPr fontId="6" type="noConversion"/>
  <pageMargins left="0.25" right="0.25" top="0.75" bottom="0.75" header="0.3" footer="0.3"/>
  <pageSetup paperSize="9" scale="85" orientation="portrait" horizontalDpi="4294967293" r:id="rId1"/>
  <headerFooter alignWithMargins="0"/>
  <rowBreaks count="2" manualBreakCount="2">
    <brk id="64" max="16383" man="1"/>
    <brk id="133" max="16383" man="1"/>
  </rowBreaks>
  <ignoredErrors>
    <ignoredError sqref="C66:C68 C71" numberStoredAsText="1"/>
    <ignoredError sqref="B42 B46 B9 B104 B85 B106 B13 B73" twoDigitTextYear="1"/>
    <ignoredError sqref="E51:F52" formulaRange="1"/>
    <ignoredError sqref="F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Hárok3" enableFormatConditionsCalculation="0">
    <tabColor indexed="13"/>
  </sheetPr>
  <dimension ref="B1:L59"/>
  <sheetViews>
    <sheetView showGridLines="0" workbookViewId="0">
      <selection activeCell="L17" sqref="L17"/>
    </sheetView>
  </sheetViews>
  <sheetFormatPr defaultRowHeight="13.2"/>
  <cols>
    <col min="1" max="1" width="0.44140625" customWidth="1"/>
    <col min="2" max="2" width="8.109375" customWidth="1"/>
    <col min="3" max="3" width="7.6640625" style="79" customWidth="1"/>
    <col min="4" max="4" width="30.109375" customWidth="1"/>
    <col min="5" max="6" width="11.33203125" customWidth="1"/>
    <col min="7" max="7" width="12.88671875" customWidth="1"/>
    <col min="8" max="8" width="13.44140625" customWidth="1"/>
    <col min="9" max="9" width="11.5546875" customWidth="1"/>
    <col min="10" max="10" width="9" customWidth="1"/>
    <col min="11" max="11" width="13.33203125" customWidth="1"/>
    <col min="12" max="12" width="16" customWidth="1"/>
  </cols>
  <sheetData>
    <row r="1" spans="2:12">
      <c r="B1" s="710" t="s">
        <v>132</v>
      </c>
      <c r="C1" s="710"/>
      <c r="D1" s="710"/>
      <c r="E1" s="215"/>
      <c r="F1" s="215"/>
      <c r="G1" s="215"/>
      <c r="H1" s="215"/>
      <c r="I1" s="215"/>
    </row>
    <row r="2" spans="2:12" ht="13.8" thickBot="1">
      <c r="B2" s="636" t="s">
        <v>133</v>
      </c>
      <c r="C2" s="636"/>
      <c r="D2" s="636"/>
      <c r="E2" s="214"/>
      <c r="F2" s="214"/>
      <c r="G2" s="214"/>
      <c r="H2" s="214"/>
      <c r="I2" s="214"/>
    </row>
    <row r="3" spans="2:12" ht="15" customHeight="1" thickTop="1">
      <c r="B3" s="647" t="s">
        <v>109</v>
      </c>
      <c r="C3" s="713" t="s">
        <v>59</v>
      </c>
      <c r="D3" s="643" t="s">
        <v>124</v>
      </c>
      <c r="E3" s="643" t="s">
        <v>333</v>
      </c>
      <c r="F3" s="643" t="s">
        <v>332</v>
      </c>
      <c r="G3" s="643" t="s">
        <v>345</v>
      </c>
      <c r="H3" s="643" t="s">
        <v>359</v>
      </c>
      <c r="I3" s="643" t="s">
        <v>360</v>
      </c>
      <c r="J3" s="645" t="s">
        <v>344</v>
      </c>
    </row>
    <row r="4" spans="2:12" ht="23.25" customHeight="1" thickBot="1">
      <c r="B4" s="648"/>
      <c r="C4" s="714"/>
      <c r="D4" s="644"/>
      <c r="E4" s="644"/>
      <c r="F4" s="644"/>
      <c r="G4" s="644"/>
      <c r="H4" s="644"/>
      <c r="I4" s="644"/>
      <c r="J4" s="646"/>
    </row>
    <row r="5" spans="2:12" s="46" customFormat="1" ht="16.8" thickTop="1" thickBot="1">
      <c r="B5" s="420">
        <v>200</v>
      </c>
      <c r="C5" s="712" t="s">
        <v>116</v>
      </c>
      <c r="D5" s="633"/>
      <c r="E5" s="110">
        <f>E6</f>
        <v>74221</v>
      </c>
      <c r="F5" s="110">
        <f>F6</f>
        <v>98051</v>
      </c>
      <c r="G5" s="515">
        <f>G6</f>
        <v>223532.5</v>
      </c>
      <c r="H5" s="515">
        <f>H6</f>
        <v>61991.15</v>
      </c>
      <c r="I5" s="110">
        <f>I6</f>
        <v>53123</v>
      </c>
      <c r="J5" s="382">
        <f t="shared" ref="J5:J36" si="0">IF(I5=0,0,ROUND((H5/I5)*100,2))</f>
        <v>116.69</v>
      </c>
    </row>
    <row r="6" spans="2:12" s="36" customFormat="1" ht="14.4" thickBot="1">
      <c r="B6" s="421">
        <v>230</v>
      </c>
      <c r="C6" s="654" t="s">
        <v>125</v>
      </c>
      <c r="D6" s="615"/>
      <c r="E6" s="162">
        <f>E7+E10</f>
        <v>74221</v>
      </c>
      <c r="F6" s="162">
        <f>F7+F10</f>
        <v>98051</v>
      </c>
      <c r="G6" s="516">
        <f>G7+G10</f>
        <v>223532.5</v>
      </c>
      <c r="H6" s="516">
        <f>H7+H10</f>
        <v>61991.15</v>
      </c>
      <c r="I6" s="162">
        <f>I7+I10</f>
        <v>53123</v>
      </c>
      <c r="J6" s="358">
        <f t="shared" si="0"/>
        <v>116.69</v>
      </c>
    </row>
    <row r="7" spans="2:12" s="39" customFormat="1" ht="13.8" thickBot="1">
      <c r="B7" s="610"/>
      <c r="C7" s="417">
        <v>231</v>
      </c>
      <c r="D7" s="35" t="s">
        <v>129</v>
      </c>
      <c r="E7" s="152">
        <f>SUM(E8:E9)</f>
        <v>21933</v>
      </c>
      <c r="F7" s="152">
        <f>SUM(F8:F9)</f>
        <v>32153</v>
      </c>
      <c r="G7" s="517">
        <f>SUM(G8:G9)</f>
        <v>84811.72</v>
      </c>
      <c r="H7" s="517">
        <f>SUM(H8:H9)</f>
        <v>23898.959999999999</v>
      </c>
      <c r="I7" s="152">
        <f>SUM(I8:I9)</f>
        <v>20823</v>
      </c>
      <c r="J7" s="190">
        <f t="shared" si="0"/>
        <v>114.77</v>
      </c>
      <c r="L7" s="603"/>
    </row>
    <row r="8" spans="2:12" s="281" customFormat="1">
      <c r="B8" s="611"/>
      <c r="C8" s="704"/>
      <c r="D8" s="288" t="s">
        <v>321</v>
      </c>
      <c r="E8" s="56">
        <v>21933</v>
      </c>
      <c r="F8" s="56">
        <v>23657</v>
      </c>
      <c r="G8" s="518">
        <v>83346.52</v>
      </c>
      <c r="H8" s="518">
        <v>19336.16</v>
      </c>
      <c r="I8" s="153">
        <v>16260</v>
      </c>
      <c r="J8" s="192">
        <f t="shared" si="0"/>
        <v>118.92</v>
      </c>
    </row>
    <row r="9" spans="2:12" s="281" customFormat="1" ht="13.8" thickBot="1">
      <c r="B9" s="611"/>
      <c r="C9" s="711"/>
      <c r="D9" s="53" t="s">
        <v>126</v>
      </c>
      <c r="E9" s="44"/>
      <c r="F9" s="329">
        <v>8496</v>
      </c>
      <c r="G9" s="519">
        <v>1465.2</v>
      </c>
      <c r="H9" s="519">
        <v>4562.8</v>
      </c>
      <c r="I9" s="155">
        <v>4563</v>
      </c>
      <c r="J9" s="192">
        <f t="shared" si="0"/>
        <v>100</v>
      </c>
    </row>
    <row r="10" spans="2:12" s="281" customFormat="1" ht="13.8" thickBot="1">
      <c r="B10" s="611"/>
      <c r="C10" s="418">
        <v>233</v>
      </c>
      <c r="D10" s="1" t="s">
        <v>130</v>
      </c>
      <c r="E10" s="152">
        <f>SUM(E11:E15)</f>
        <v>52288</v>
      </c>
      <c r="F10" s="152">
        <f>SUM(F11:F15)</f>
        <v>65898</v>
      </c>
      <c r="G10" s="513">
        <f>SUM(G11:G15)</f>
        <v>138720.78</v>
      </c>
      <c r="H10" s="152">
        <f>SUM(H11:H15)</f>
        <v>38092.19</v>
      </c>
      <c r="I10" s="152">
        <f>SUM(I11:I15)</f>
        <v>32300</v>
      </c>
      <c r="J10" s="190">
        <f t="shared" si="0"/>
        <v>117.93</v>
      </c>
    </row>
    <row r="11" spans="2:12" s="281" customFormat="1">
      <c r="B11" s="611"/>
      <c r="C11" s="704"/>
      <c r="D11" s="51" t="s">
        <v>289</v>
      </c>
      <c r="E11" s="184">
        <v>52288</v>
      </c>
      <c r="F11" s="184">
        <v>65898</v>
      </c>
      <c r="G11" s="184">
        <v>138720.78</v>
      </c>
      <c r="H11" s="184">
        <v>38092.19</v>
      </c>
      <c r="I11" s="153">
        <v>32300</v>
      </c>
      <c r="J11" s="192">
        <f t="shared" si="0"/>
        <v>117.93</v>
      </c>
      <c r="L11" s="292"/>
    </row>
    <row r="12" spans="2:12" s="39" customFormat="1">
      <c r="B12" s="611"/>
      <c r="C12" s="705"/>
      <c r="D12" s="177" t="s">
        <v>286</v>
      </c>
      <c r="E12" s="325"/>
      <c r="F12" s="325"/>
      <c r="G12" s="325"/>
      <c r="H12" s="325"/>
      <c r="I12" s="273"/>
      <c r="J12" s="383">
        <f t="shared" si="0"/>
        <v>0</v>
      </c>
      <c r="L12" s="47"/>
    </row>
    <row r="13" spans="2:12" s="39" customFormat="1" hidden="1">
      <c r="B13" s="611"/>
      <c r="C13" s="705"/>
      <c r="D13" s="177" t="s">
        <v>287</v>
      </c>
      <c r="E13" s="325"/>
      <c r="F13" s="325"/>
      <c r="G13" s="325"/>
      <c r="H13" s="325"/>
      <c r="I13" s="273"/>
      <c r="J13" s="383">
        <f t="shared" si="0"/>
        <v>0</v>
      </c>
    </row>
    <row r="14" spans="2:12" s="39" customFormat="1" hidden="1">
      <c r="B14" s="611"/>
      <c r="C14" s="705"/>
      <c r="D14" s="177" t="s">
        <v>288</v>
      </c>
      <c r="E14" s="325"/>
      <c r="F14" s="325"/>
      <c r="G14" s="325"/>
      <c r="H14" s="325"/>
      <c r="I14" s="273"/>
      <c r="J14" s="383">
        <f t="shared" si="0"/>
        <v>0</v>
      </c>
    </row>
    <row r="15" spans="2:12" ht="13.8" thickBot="1">
      <c r="B15" s="611"/>
      <c r="C15" s="711"/>
      <c r="D15" s="53" t="s">
        <v>325</v>
      </c>
      <c r="E15" s="144"/>
      <c r="F15" s="144"/>
      <c r="G15" s="144"/>
      <c r="H15" s="144"/>
      <c r="I15" s="155"/>
      <c r="J15" s="192">
        <f t="shared" si="0"/>
        <v>0</v>
      </c>
    </row>
    <row r="16" spans="2:12" s="55" customFormat="1" ht="16.2" thickBot="1">
      <c r="B16" s="102">
        <v>300</v>
      </c>
      <c r="C16" s="639" t="s">
        <v>119</v>
      </c>
      <c r="D16" s="701"/>
      <c r="E16" s="220">
        <f>E17+E49</f>
        <v>4428553.0599999996</v>
      </c>
      <c r="F16" s="220">
        <f>F17+F49</f>
        <v>3580446</v>
      </c>
      <c r="G16" s="220">
        <f>G17+G49</f>
        <v>994806.09000000008</v>
      </c>
      <c r="H16" s="580">
        <f>H17+H49</f>
        <v>690306.37</v>
      </c>
      <c r="I16" s="220">
        <f>I17+I49</f>
        <v>1261397</v>
      </c>
      <c r="J16" s="384">
        <f t="shared" si="0"/>
        <v>54.73</v>
      </c>
    </row>
    <row r="17" spans="2:12" s="36" customFormat="1" ht="14.4" thickBot="1">
      <c r="B17" s="421">
        <v>320</v>
      </c>
      <c r="C17" s="654" t="s">
        <v>127</v>
      </c>
      <c r="D17" s="615"/>
      <c r="E17" s="221">
        <f>E18</f>
        <v>4408068.0599999996</v>
      </c>
      <c r="F17" s="221">
        <f>F18</f>
        <v>3580446</v>
      </c>
      <c r="G17" s="221">
        <f>G18</f>
        <v>994806.09000000008</v>
      </c>
      <c r="H17" s="581">
        <f>H18</f>
        <v>690306.37</v>
      </c>
      <c r="I17" s="221">
        <f>I18</f>
        <v>1261397</v>
      </c>
      <c r="J17" s="385">
        <f t="shared" si="0"/>
        <v>54.73</v>
      </c>
      <c r="L17" s="579"/>
    </row>
    <row r="18" spans="2:12" s="39" customFormat="1" ht="13.8" thickBot="1">
      <c r="B18" s="706"/>
      <c r="C18" s="417">
        <v>321</v>
      </c>
      <c r="D18" s="1" t="s">
        <v>121</v>
      </c>
      <c r="E18" s="222">
        <v>4408068.0599999996</v>
      </c>
      <c r="F18" s="222">
        <v>3580446</v>
      </c>
      <c r="G18" s="529">
        <v>994806.09000000008</v>
      </c>
      <c r="H18" s="529">
        <f>SUM(H19:H41)</f>
        <v>690306.37</v>
      </c>
      <c r="I18" s="50">
        <f>SUM(I19:I48)</f>
        <v>1261397</v>
      </c>
      <c r="J18" s="524">
        <f t="shared" si="0"/>
        <v>54.73</v>
      </c>
      <c r="K18" s="47"/>
    </row>
    <row r="19" spans="2:12">
      <c r="B19" s="707"/>
      <c r="C19" s="708"/>
      <c r="D19" s="181" t="s">
        <v>300</v>
      </c>
      <c r="E19" s="56"/>
      <c r="F19" s="56"/>
      <c r="G19" s="491"/>
      <c r="H19" s="491">
        <f>20027.97+12607.64+21428.54+12000</f>
        <v>66064.149999999994</v>
      </c>
      <c r="I19" s="49">
        <v>37919</v>
      </c>
      <c r="J19" s="372">
        <f t="shared" si="0"/>
        <v>174.22</v>
      </c>
      <c r="K19" s="34"/>
      <c r="L19" s="532"/>
    </row>
    <row r="20" spans="2:12">
      <c r="B20" s="707"/>
      <c r="C20" s="709"/>
      <c r="D20" s="183" t="s">
        <v>362</v>
      </c>
      <c r="E20" s="56"/>
      <c r="F20" s="56"/>
      <c r="G20" s="491"/>
      <c r="H20" s="491">
        <f>27700.08+7986.85+22767.24</f>
        <v>58454.17</v>
      </c>
      <c r="I20" s="49">
        <v>57267</v>
      </c>
      <c r="J20" s="372">
        <f t="shared" si="0"/>
        <v>102.07</v>
      </c>
    </row>
    <row r="21" spans="2:12" hidden="1">
      <c r="B21" s="707"/>
      <c r="C21" s="709"/>
      <c r="D21" s="183" t="s">
        <v>331</v>
      </c>
      <c r="E21" s="56"/>
      <c r="F21" s="56"/>
      <c r="G21" s="491"/>
      <c r="H21" s="491"/>
      <c r="I21" s="49">
        <v>0</v>
      </c>
      <c r="J21" s="372">
        <f t="shared" si="0"/>
        <v>0</v>
      </c>
      <c r="L21" s="34"/>
    </row>
    <row r="22" spans="2:12">
      <c r="B22" s="707"/>
      <c r="C22" s="709"/>
      <c r="D22" s="52" t="s">
        <v>311</v>
      </c>
      <c r="E22" s="184"/>
      <c r="F22" s="184"/>
      <c r="G22" s="491">
        <v>341900</v>
      </c>
      <c r="H22" s="497">
        <v>340000</v>
      </c>
      <c r="I22" s="49">
        <v>340000</v>
      </c>
      <c r="J22" s="372">
        <f t="shared" si="0"/>
        <v>100</v>
      </c>
    </row>
    <row r="23" spans="2:12">
      <c r="B23" s="707"/>
      <c r="C23" s="709"/>
      <c r="D23" s="52" t="s">
        <v>314</v>
      </c>
      <c r="E23" s="184"/>
      <c r="F23" s="184"/>
      <c r="G23" s="497"/>
      <c r="H23" s="497">
        <v>6610.12</v>
      </c>
      <c r="I23" s="49">
        <v>6610</v>
      </c>
      <c r="J23" s="372">
        <f t="shared" si="0"/>
        <v>100</v>
      </c>
    </row>
    <row r="24" spans="2:12">
      <c r="B24" s="707"/>
      <c r="C24" s="709"/>
      <c r="D24" s="291" t="s">
        <v>366</v>
      </c>
      <c r="E24" s="321"/>
      <c r="F24" s="321"/>
      <c r="G24" s="530"/>
      <c r="H24" s="530">
        <v>9000</v>
      </c>
      <c r="I24" s="49">
        <v>9000</v>
      </c>
      <c r="J24" s="372">
        <f t="shared" si="0"/>
        <v>100</v>
      </c>
      <c r="K24" s="34"/>
    </row>
    <row r="25" spans="2:12" ht="13.8">
      <c r="B25" s="422"/>
      <c r="C25" s="709"/>
      <c r="D25" s="52" t="s">
        <v>317</v>
      </c>
      <c r="E25" s="42"/>
      <c r="F25" s="42"/>
      <c r="G25" s="498"/>
      <c r="H25" s="498">
        <v>8142.7</v>
      </c>
      <c r="I25" s="43">
        <v>8143</v>
      </c>
      <c r="J25" s="373">
        <f t="shared" si="0"/>
        <v>100</v>
      </c>
    </row>
    <row r="26" spans="2:12" ht="13.8" hidden="1">
      <c r="B26" s="422"/>
      <c r="C26" s="709"/>
      <c r="D26" s="52" t="s">
        <v>367</v>
      </c>
      <c r="E26" s="42"/>
      <c r="F26" s="42"/>
      <c r="G26" s="498"/>
      <c r="H26" s="498"/>
      <c r="I26" s="43">
        <v>7000</v>
      </c>
      <c r="J26" s="373">
        <f t="shared" si="0"/>
        <v>0</v>
      </c>
    </row>
    <row r="27" spans="2:12" ht="13.8" hidden="1">
      <c r="B27" s="422"/>
      <c r="C27" s="709"/>
      <c r="D27" s="52" t="s">
        <v>283</v>
      </c>
      <c r="E27" s="42"/>
      <c r="F27" s="42"/>
      <c r="G27" s="498"/>
      <c r="H27" s="498"/>
      <c r="I27" s="43">
        <v>0</v>
      </c>
      <c r="J27" s="373">
        <f t="shared" si="0"/>
        <v>0</v>
      </c>
      <c r="K27" s="34"/>
    </row>
    <row r="28" spans="2:12" ht="13.8" hidden="1">
      <c r="B28" s="422"/>
      <c r="C28" s="709"/>
      <c r="D28" s="57" t="s">
        <v>316</v>
      </c>
      <c r="E28" s="184"/>
      <c r="F28" s="184"/>
      <c r="G28" s="497"/>
      <c r="H28" s="497"/>
      <c r="I28" s="43">
        <v>0</v>
      </c>
      <c r="J28" s="373">
        <f t="shared" si="0"/>
        <v>0</v>
      </c>
    </row>
    <row r="29" spans="2:12" ht="13.8" hidden="1">
      <c r="B29" s="422"/>
      <c r="C29" s="709"/>
      <c r="D29" s="57" t="s">
        <v>352</v>
      </c>
      <c r="E29" s="184"/>
      <c r="F29" s="184"/>
      <c r="G29" s="184"/>
      <c r="H29" s="184"/>
      <c r="I29" s="43">
        <v>0</v>
      </c>
      <c r="J29" s="373">
        <f t="shared" si="0"/>
        <v>0</v>
      </c>
    </row>
    <row r="30" spans="2:12" ht="13.8" hidden="1">
      <c r="B30" s="422"/>
      <c r="C30" s="709"/>
      <c r="D30" s="57" t="s">
        <v>351</v>
      </c>
      <c r="E30" s="184"/>
      <c r="F30" s="184"/>
      <c r="G30" s="184"/>
      <c r="H30" s="184"/>
      <c r="I30" s="43">
        <v>0</v>
      </c>
      <c r="J30" s="373">
        <f t="shared" si="0"/>
        <v>0</v>
      </c>
    </row>
    <row r="31" spans="2:12" ht="13.8" hidden="1">
      <c r="B31" s="422"/>
      <c r="C31" s="709"/>
      <c r="D31" s="57" t="s">
        <v>353</v>
      </c>
      <c r="E31" s="184"/>
      <c r="F31" s="184"/>
      <c r="G31" s="184"/>
      <c r="H31" s="184"/>
      <c r="I31" s="43">
        <v>0</v>
      </c>
      <c r="J31" s="373">
        <f t="shared" si="0"/>
        <v>0</v>
      </c>
    </row>
    <row r="32" spans="2:12" ht="13.8" hidden="1">
      <c r="B32" s="422"/>
      <c r="C32" s="709"/>
      <c r="D32" s="57" t="s">
        <v>354</v>
      </c>
      <c r="E32" s="184"/>
      <c r="F32" s="184"/>
      <c r="G32" s="184"/>
      <c r="H32" s="184"/>
      <c r="I32" s="43">
        <v>0</v>
      </c>
      <c r="J32" s="373">
        <f t="shared" si="0"/>
        <v>0</v>
      </c>
    </row>
    <row r="33" spans="2:10" ht="13.8" hidden="1">
      <c r="B33" s="422"/>
      <c r="C33" s="709"/>
      <c r="D33" s="52" t="s">
        <v>338</v>
      </c>
      <c r="E33" s="42"/>
      <c r="F33" s="42"/>
      <c r="G33" s="42"/>
      <c r="H33" s="42"/>
      <c r="I33" s="43">
        <v>0</v>
      </c>
      <c r="J33" s="373">
        <f t="shared" si="0"/>
        <v>0</v>
      </c>
    </row>
    <row r="34" spans="2:10" ht="13.8" hidden="1">
      <c r="B34" s="422"/>
      <c r="C34" s="709"/>
      <c r="D34" s="52" t="s">
        <v>337</v>
      </c>
      <c r="E34" s="42"/>
      <c r="F34" s="42"/>
      <c r="G34" s="42"/>
      <c r="H34" s="42"/>
      <c r="I34" s="43">
        <v>0</v>
      </c>
      <c r="J34" s="373">
        <f t="shared" si="0"/>
        <v>0</v>
      </c>
    </row>
    <row r="35" spans="2:10" ht="13.8" hidden="1">
      <c r="B35" s="422"/>
      <c r="C35" s="709"/>
      <c r="D35" s="52" t="s">
        <v>336</v>
      </c>
      <c r="E35" s="42"/>
      <c r="F35" s="42"/>
      <c r="G35" s="42"/>
      <c r="H35" s="42"/>
      <c r="I35" s="43">
        <v>0</v>
      </c>
      <c r="J35" s="373">
        <f t="shared" si="0"/>
        <v>0</v>
      </c>
    </row>
    <row r="36" spans="2:10" ht="13.8" hidden="1">
      <c r="B36" s="422"/>
      <c r="C36" s="709"/>
      <c r="D36" s="52" t="s">
        <v>335</v>
      </c>
      <c r="E36" s="42"/>
      <c r="F36" s="42"/>
      <c r="G36" s="42"/>
      <c r="H36" s="42"/>
      <c r="I36" s="43">
        <v>0</v>
      </c>
      <c r="J36" s="373">
        <f t="shared" si="0"/>
        <v>0</v>
      </c>
    </row>
    <row r="37" spans="2:10" ht="13.8" hidden="1">
      <c r="B37" s="422"/>
      <c r="C37" s="709"/>
      <c r="D37" s="52" t="s">
        <v>334</v>
      </c>
      <c r="E37" s="42"/>
      <c r="F37" s="42"/>
      <c r="G37" s="42"/>
      <c r="H37" s="42"/>
      <c r="I37" s="43">
        <v>0</v>
      </c>
      <c r="J37" s="373">
        <f t="shared" ref="J37:J53" si="1">IF(I37=0,0,ROUND((H37/I37)*100,2))</f>
        <v>0</v>
      </c>
    </row>
    <row r="38" spans="2:10" ht="13.8">
      <c r="B38" s="422"/>
      <c r="C38" s="709"/>
      <c r="D38" s="52" t="s">
        <v>368</v>
      </c>
      <c r="E38" s="42"/>
      <c r="F38" s="42"/>
      <c r="G38" s="42"/>
      <c r="H38" s="42">
        <v>136054.5</v>
      </c>
      <c r="I38" s="43">
        <v>196127</v>
      </c>
      <c r="J38" s="373">
        <f t="shared" si="1"/>
        <v>69.37</v>
      </c>
    </row>
    <row r="39" spans="2:10" ht="13.8">
      <c r="B39" s="422"/>
      <c r="C39" s="709"/>
      <c r="D39" s="52" t="s">
        <v>369</v>
      </c>
      <c r="E39" s="42"/>
      <c r="F39" s="42"/>
      <c r="G39" s="42"/>
      <c r="H39" s="42"/>
      <c r="I39" s="43">
        <v>6730</v>
      </c>
      <c r="J39" s="373">
        <f t="shared" si="1"/>
        <v>0</v>
      </c>
    </row>
    <row r="40" spans="2:10" ht="13.8">
      <c r="B40" s="422"/>
      <c r="C40" s="709"/>
      <c r="D40" s="52" t="s">
        <v>370</v>
      </c>
      <c r="E40" s="42"/>
      <c r="F40" s="42"/>
      <c r="G40" s="42"/>
      <c r="H40" s="42"/>
      <c r="I40" s="330">
        <v>497601</v>
      </c>
      <c r="J40" s="373">
        <f t="shared" si="1"/>
        <v>0</v>
      </c>
    </row>
    <row r="41" spans="2:10" ht="14.4" thickBot="1">
      <c r="B41" s="422"/>
      <c r="C41" s="709"/>
      <c r="D41" s="52" t="s">
        <v>371</v>
      </c>
      <c r="E41" s="42"/>
      <c r="F41" s="42"/>
      <c r="G41" s="42"/>
      <c r="H41" s="42">
        <v>65980.73</v>
      </c>
      <c r="I41" s="330">
        <v>95000</v>
      </c>
      <c r="J41" s="373">
        <f t="shared" si="1"/>
        <v>69.45</v>
      </c>
    </row>
    <row r="42" spans="2:10" ht="13.8" hidden="1">
      <c r="B42" s="422"/>
      <c r="C42" s="709"/>
      <c r="D42" s="52"/>
      <c r="E42" s="42"/>
      <c r="F42" s="42"/>
      <c r="G42" s="42"/>
      <c r="H42" s="42"/>
      <c r="I42" s="330"/>
      <c r="J42" s="373">
        <f t="shared" si="1"/>
        <v>0</v>
      </c>
    </row>
    <row r="43" spans="2:10" ht="13.8" hidden="1">
      <c r="B43" s="422"/>
      <c r="C43" s="709"/>
      <c r="D43" s="52"/>
      <c r="E43" s="42"/>
      <c r="F43" s="42"/>
      <c r="G43" s="42"/>
      <c r="H43" s="42"/>
      <c r="I43" s="330"/>
      <c r="J43" s="373">
        <f t="shared" si="1"/>
        <v>0</v>
      </c>
    </row>
    <row r="44" spans="2:10" ht="13.8" hidden="1">
      <c r="B44" s="422"/>
      <c r="C44" s="709"/>
      <c r="D44" s="52"/>
      <c r="E44" s="42"/>
      <c r="F44" s="42"/>
      <c r="G44" s="42"/>
      <c r="H44" s="42"/>
      <c r="I44" s="330"/>
      <c r="J44" s="373">
        <f t="shared" si="1"/>
        <v>0</v>
      </c>
    </row>
    <row r="45" spans="2:10" ht="13.8" hidden="1">
      <c r="B45" s="422"/>
      <c r="C45" s="709"/>
      <c r="D45" s="52"/>
      <c r="E45" s="42"/>
      <c r="F45" s="42"/>
      <c r="G45" s="42"/>
      <c r="H45" s="42"/>
      <c r="I45" s="330"/>
      <c r="J45" s="373">
        <f t="shared" si="1"/>
        <v>0</v>
      </c>
    </row>
    <row r="46" spans="2:10" ht="13.8" hidden="1">
      <c r="B46" s="422"/>
      <c r="C46" s="709"/>
      <c r="D46" s="52"/>
      <c r="E46" s="42"/>
      <c r="F46" s="42"/>
      <c r="G46" s="42"/>
      <c r="H46" s="42"/>
      <c r="I46" s="330"/>
      <c r="J46" s="373">
        <f t="shared" si="1"/>
        <v>0</v>
      </c>
    </row>
    <row r="47" spans="2:10" ht="13.8" hidden="1">
      <c r="B47" s="422"/>
      <c r="C47" s="709"/>
      <c r="D47" s="52"/>
      <c r="E47" s="42"/>
      <c r="F47" s="42"/>
      <c r="G47" s="42"/>
      <c r="H47" s="42"/>
      <c r="I47" s="330"/>
      <c r="J47" s="373">
        <f t="shared" si="1"/>
        <v>0</v>
      </c>
    </row>
    <row r="48" spans="2:10" ht="14.4" hidden="1" thickBot="1">
      <c r="B48" s="422"/>
      <c r="C48" s="709"/>
      <c r="D48" s="52"/>
      <c r="E48" s="42"/>
      <c r="F48" s="42"/>
      <c r="G48" s="42"/>
      <c r="H48" s="132"/>
      <c r="I48" s="525"/>
      <c r="J48" s="373">
        <f t="shared" si="1"/>
        <v>0</v>
      </c>
    </row>
    <row r="49" spans="2:10" s="36" customFormat="1" ht="14.4" thickBot="1">
      <c r="B49" s="421">
        <v>330</v>
      </c>
      <c r="C49" s="654" t="s">
        <v>107</v>
      </c>
      <c r="D49" s="615"/>
      <c r="E49" s="274">
        <f t="shared" ref="E49:G50" si="2">E50</f>
        <v>20485</v>
      </c>
      <c r="F49" s="274">
        <f t="shared" si="2"/>
        <v>0</v>
      </c>
      <c r="G49" s="274">
        <f t="shared" si="2"/>
        <v>0</v>
      </c>
      <c r="H49" s="274"/>
      <c r="I49" s="274">
        <f>I50</f>
        <v>0</v>
      </c>
      <c r="J49" s="386">
        <f t="shared" si="1"/>
        <v>0</v>
      </c>
    </row>
    <row r="50" spans="2:10" ht="13.8" thickBot="1">
      <c r="B50" s="702"/>
      <c r="C50" s="418">
        <v>332</v>
      </c>
      <c r="D50" s="1" t="s">
        <v>131</v>
      </c>
      <c r="E50" s="35">
        <f t="shared" si="2"/>
        <v>20485</v>
      </c>
      <c r="F50" s="35">
        <f t="shared" si="2"/>
        <v>0</v>
      </c>
      <c r="G50" s="35">
        <f t="shared" si="2"/>
        <v>0</v>
      </c>
      <c r="H50" s="35"/>
      <c r="I50" s="35">
        <f>I51</f>
        <v>0</v>
      </c>
      <c r="J50" s="190">
        <f t="shared" si="1"/>
        <v>0</v>
      </c>
    </row>
    <row r="51" spans="2:10">
      <c r="B51" s="703"/>
      <c r="C51" s="704"/>
      <c r="D51" s="181" t="s">
        <v>227</v>
      </c>
      <c r="E51" s="56">
        <v>20485</v>
      </c>
      <c r="F51" s="56"/>
      <c r="G51" s="56"/>
      <c r="H51" s="56"/>
      <c r="I51" s="156"/>
      <c r="J51" s="192">
        <f t="shared" si="1"/>
        <v>0</v>
      </c>
    </row>
    <row r="52" spans="2:10" ht="13.8" thickBot="1">
      <c r="B52" s="703"/>
      <c r="C52" s="705"/>
      <c r="D52" s="3"/>
      <c r="E52" s="144"/>
      <c r="F52" s="144"/>
      <c r="G52" s="144"/>
      <c r="H52" s="144"/>
      <c r="I52" s="155"/>
      <c r="J52" s="192">
        <f t="shared" si="1"/>
        <v>0</v>
      </c>
    </row>
    <row r="53" spans="2:10" s="46" customFormat="1" ht="16.8" thickTop="1" thickBot="1">
      <c r="B53" s="423"/>
      <c r="C53" s="419"/>
      <c r="D53" s="71" t="s">
        <v>128</v>
      </c>
      <c r="E53" s="72">
        <f>E16+E5</f>
        <v>4502774.0599999996</v>
      </c>
      <c r="F53" s="72">
        <f>F16+F5</f>
        <v>3678497</v>
      </c>
      <c r="G53" s="72">
        <f>G16+G5</f>
        <v>1218338.5900000001</v>
      </c>
      <c r="H53" s="72">
        <f>H16+H5</f>
        <v>752297.52</v>
      </c>
      <c r="I53" s="72">
        <f>I16+I5</f>
        <v>1314520</v>
      </c>
      <c r="J53" s="367">
        <f t="shared" si="1"/>
        <v>57.23</v>
      </c>
    </row>
    <row r="54" spans="2:10" ht="13.8" thickTop="1"/>
    <row r="57" spans="2:10">
      <c r="J57" s="34"/>
    </row>
    <row r="59" spans="2:10">
      <c r="J59" s="34"/>
    </row>
  </sheetData>
  <mergeCells count="23">
    <mergeCell ref="J3:J4"/>
    <mergeCell ref="I3:I4"/>
    <mergeCell ref="C6:D6"/>
    <mergeCell ref="C5:D5"/>
    <mergeCell ref="D3:D4"/>
    <mergeCell ref="C3:C4"/>
    <mergeCell ref="F3:F4"/>
    <mergeCell ref="E3:E4"/>
    <mergeCell ref="G3:G4"/>
    <mergeCell ref="H3:H4"/>
    <mergeCell ref="B1:D1"/>
    <mergeCell ref="B2:D2"/>
    <mergeCell ref="B7:B15"/>
    <mergeCell ref="B3:B4"/>
    <mergeCell ref="C8:C9"/>
    <mergeCell ref="C11:C15"/>
    <mergeCell ref="C16:D16"/>
    <mergeCell ref="B50:B52"/>
    <mergeCell ref="C51:C52"/>
    <mergeCell ref="B18:B24"/>
    <mergeCell ref="C49:D49"/>
    <mergeCell ref="C19:C48"/>
    <mergeCell ref="C17:D17"/>
  </mergeCells>
  <phoneticPr fontId="6" type="noConversion"/>
  <pageMargins left="0.25" right="0.25" top="0.75" bottom="0.75" header="0.3" footer="0.3"/>
  <pageSetup paperSize="9" scale="87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árok4" enableFormatConditionsCalculation="0">
    <tabColor indexed="13"/>
  </sheetPr>
  <dimension ref="B1:M112"/>
  <sheetViews>
    <sheetView showGridLines="0" tabSelected="1" workbookViewId="0">
      <selection activeCell="D12" sqref="D12"/>
    </sheetView>
  </sheetViews>
  <sheetFormatPr defaultColWidth="9.109375" defaultRowHeight="13.2"/>
  <cols>
    <col min="1" max="1" width="0.109375" style="39" customWidth="1"/>
    <col min="2" max="2" width="10.44140625" style="39" customWidth="1"/>
    <col min="3" max="3" width="8.109375" style="39" customWidth="1"/>
    <col min="4" max="4" width="30.33203125" style="39" customWidth="1"/>
    <col min="5" max="6" width="11.88671875" style="39" customWidth="1"/>
    <col min="7" max="7" width="15" style="39" customWidth="1"/>
    <col min="8" max="8" width="14.33203125" style="39" customWidth="1"/>
    <col min="9" max="9" width="11.6640625" style="39" customWidth="1"/>
    <col min="10" max="10" width="8.33203125" style="39" customWidth="1"/>
    <col min="11" max="11" width="9.109375" style="39"/>
    <col min="12" max="12" width="11.44140625" style="39" bestFit="1" customWidth="1"/>
    <col min="13" max="13" width="14.6640625" style="39" customWidth="1"/>
    <col min="14" max="16384" width="9.109375" style="39"/>
  </cols>
  <sheetData>
    <row r="1" spans="2:13" ht="13.8" thickBot="1">
      <c r="B1" s="721" t="s">
        <v>134</v>
      </c>
      <c r="C1" s="721"/>
      <c r="D1" s="721"/>
      <c r="E1" s="223"/>
      <c r="F1" s="223"/>
      <c r="G1" s="223"/>
      <c r="H1" s="223"/>
      <c r="I1" s="223"/>
      <c r="J1" s="223"/>
    </row>
    <row r="2" spans="2:13" ht="13.5" customHeight="1" thickTop="1">
      <c r="B2" s="667" t="s">
        <v>58</v>
      </c>
      <c r="C2" s="722" t="s">
        <v>59</v>
      </c>
      <c r="D2" s="671" t="s">
        <v>60</v>
      </c>
      <c r="E2" s="643" t="s">
        <v>333</v>
      </c>
      <c r="F2" s="643" t="s">
        <v>332</v>
      </c>
      <c r="G2" s="643" t="s">
        <v>345</v>
      </c>
      <c r="H2" s="643" t="s">
        <v>359</v>
      </c>
      <c r="I2" s="643" t="s">
        <v>360</v>
      </c>
      <c r="J2" s="645" t="s">
        <v>344</v>
      </c>
    </row>
    <row r="3" spans="2:13" ht="25.5" customHeight="1" thickBot="1">
      <c r="B3" s="668"/>
      <c r="C3" s="723"/>
      <c r="D3" s="672"/>
      <c r="E3" s="644"/>
      <c r="F3" s="644"/>
      <c r="G3" s="644"/>
      <c r="H3" s="644"/>
      <c r="I3" s="644"/>
      <c r="J3" s="646"/>
    </row>
    <row r="4" spans="2:13" s="36" customFormat="1" ht="15" hidden="1" thickTop="1" thickBot="1">
      <c r="B4" s="70" t="s">
        <v>62</v>
      </c>
      <c r="C4" s="720" t="s">
        <v>135</v>
      </c>
      <c r="D4" s="720"/>
      <c r="E4" s="276">
        <f>E5+E6</f>
        <v>0</v>
      </c>
      <c r="F4" s="276">
        <f>F5+F6</f>
        <v>0</v>
      </c>
      <c r="G4" s="276"/>
      <c r="H4" s="276"/>
      <c r="I4" s="276"/>
      <c r="J4" s="545">
        <f t="shared" ref="J4:J35" si="0">IF(I4=0,0,ROUND((H4/I4)*100,2))</f>
        <v>0</v>
      </c>
    </row>
    <row r="5" spans="2:13" hidden="1">
      <c r="B5" s="719"/>
      <c r="C5" s="724"/>
      <c r="D5" s="57" t="s">
        <v>319</v>
      </c>
      <c r="E5" s="184"/>
      <c r="F5" s="184"/>
      <c r="G5" s="184"/>
      <c r="H5" s="184"/>
      <c r="I5" s="153"/>
      <c r="J5" s="192">
        <f t="shared" si="0"/>
        <v>0</v>
      </c>
    </row>
    <row r="6" spans="2:13" ht="13.8" hidden="1" thickBot="1">
      <c r="B6" s="716"/>
      <c r="C6" s="725"/>
      <c r="D6" s="57" t="s">
        <v>320</v>
      </c>
      <c r="E6" s="184"/>
      <c r="F6" s="184"/>
      <c r="G6" s="184"/>
      <c r="H6" s="184"/>
      <c r="I6" s="153">
        <v>0</v>
      </c>
      <c r="J6" s="192">
        <f t="shared" si="0"/>
        <v>0</v>
      </c>
    </row>
    <row r="7" spans="2:13" s="36" customFormat="1" ht="15" thickTop="1" thickBot="1">
      <c r="B7" s="64" t="s">
        <v>154</v>
      </c>
      <c r="C7" s="726" t="s">
        <v>13</v>
      </c>
      <c r="D7" s="726"/>
      <c r="E7" s="33">
        <v>0</v>
      </c>
      <c r="F7" s="33">
        <f>SUM(F8:F9)</f>
        <v>10398</v>
      </c>
      <c r="G7" s="33">
        <f>SUM(G8:G9)</f>
        <v>0</v>
      </c>
      <c r="H7" s="33">
        <f>SUM(H8:H9)</f>
        <v>0</v>
      </c>
      <c r="I7" s="33">
        <f>SUM(I8:I9)</f>
        <v>8492</v>
      </c>
      <c r="J7" s="358">
        <f t="shared" si="0"/>
        <v>0</v>
      </c>
      <c r="L7" s="533"/>
    </row>
    <row r="8" spans="2:13" ht="13.8">
      <c r="B8" s="86"/>
      <c r="C8" s="724"/>
      <c r="D8" s="51" t="s">
        <v>214</v>
      </c>
      <c r="E8" s="40"/>
      <c r="F8" s="40">
        <v>10398</v>
      </c>
      <c r="G8" s="40"/>
      <c r="H8" s="40"/>
      <c r="I8" s="173">
        <v>0</v>
      </c>
      <c r="J8" s="365">
        <f t="shared" si="0"/>
        <v>0</v>
      </c>
      <c r="L8" s="533"/>
    </row>
    <row r="9" spans="2:13" ht="14.4" thickBot="1">
      <c r="B9" s="86"/>
      <c r="C9" s="725"/>
      <c r="D9" s="3" t="s">
        <v>369</v>
      </c>
      <c r="E9" s="144"/>
      <c r="F9" s="144"/>
      <c r="G9" s="144"/>
      <c r="H9" s="144"/>
      <c r="I9" s="155">
        <v>8492</v>
      </c>
      <c r="J9" s="193">
        <f t="shared" si="0"/>
        <v>0</v>
      </c>
      <c r="L9" s="533"/>
    </row>
    <row r="10" spans="2:13" s="36" customFormat="1" ht="14.4" thickBot="1">
      <c r="B10" s="64" t="s">
        <v>136</v>
      </c>
      <c r="C10" s="726" t="s">
        <v>137</v>
      </c>
      <c r="D10" s="726"/>
      <c r="E10" s="33">
        <v>421522</v>
      </c>
      <c r="F10" s="33">
        <v>2058954</v>
      </c>
      <c r="G10" s="381">
        <v>108548.12</v>
      </c>
      <c r="H10" s="381">
        <f>SUM(H11:H23)</f>
        <v>187078.06</v>
      </c>
      <c r="I10" s="33">
        <f>SUM(I11:I23)</f>
        <v>1011463</v>
      </c>
      <c r="J10" s="358">
        <f t="shared" si="0"/>
        <v>18.5</v>
      </c>
      <c r="L10" s="533"/>
      <c r="M10" s="579"/>
    </row>
    <row r="11" spans="2:13" ht="13.8">
      <c r="B11" s="715"/>
      <c r="C11" s="717"/>
      <c r="D11" s="32" t="s">
        <v>269</v>
      </c>
      <c r="E11" s="184"/>
      <c r="F11" s="184"/>
      <c r="G11" s="184"/>
      <c r="H11" s="591">
        <v>11397.78</v>
      </c>
      <c r="I11" s="153">
        <v>40150</v>
      </c>
      <c r="J11" s="192">
        <f t="shared" si="0"/>
        <v>28.39</v>
      </c>
      <c r="L11" s="533"/>
    </row>
    <row r="12" spans="2:13" ht="13.8">
      <c r="B12" s="715"/>
      <c r="C12" s="717"/>
      <c r="D12" s="15" t="s">
        <v>372</v>
      </c>
      <c r="E12" s="184"/>
      <c r="F12" s="184"/>
      <c r="G12" s="184"/>
      <c r="H12" s="591">
        <v>4562.8</v>
      </c>
      <c r="I12" s="153">
        <v>4563</v>
      </c>
      <c r="J12" s="192">
        <f t="shared" si="0"/>
        <v>100</v>
      </c>
      <c r="L12" s="533"/>
    </row>
    <row r="13" spans="2:13" ht="13.8" hidden="1">
      <c r="B13" s="715"/>
      <c r="C13" s="717"/>
      <c r="D13" s="26" t="s">
        <v>373</v>
      </c>
      <c r="E13" s="331"/>
      <c r="F13" s="331"/>
      <c r="G13" s="331"/>
      <c r="H13" s="592"/>
      <c r="I13" s="43">
        <v>0</v>
      </c>
      <c r="J13" s="192">
        <f t="shared" si="0"/>
        <v>0</v>
      </c>
      <c r="K13" s="47"/>
      <c r="L13" s="533"/>
    </row>
    <row r="14" spans="2:13" ht="13.8">
      <c r="B14" s="715"/>
      <c r="C14" s="717"/>
      <c r="D14" s="15" t="s">
        <v>268</v>
      </c>
      <c r="E14" s="184"/>
      <c r="F14" s="184"/>
      <c r="G14" s="184"/>
      <c r="H14" s="591"/>
      <c r="I14" s="153">
        <v>5000</v>
      </c>
      <c r="J14" s="192">
        <f t="shared" si="0"/>
        <v>0</v>
      </c>
      <c r="K14" s="47"/>
      <c r="L14" s="533"/>
    </row>
    <row r="15" spans="2:13" ht="13.8">
      <c r="B15" s="715"/>
      <c r="C15" s="717"/>
      <c r="D15" s="15" t="s">
        <v>367</v>
      </c>
      <c r="E15" s="184"/>
      <c r="F15" s="184"/>
      <c r="G15" s="184"/>
      <c r="H15" s="591">
        <v>13200</v>
      </c>
      <c r="I15" s="153">
        <v>57050</v>
      </c>
      <c r="J15" s="192">
        <f t="shared" si="0"/>
        <v>23.14</v>
      </c>
      <c r="K15" s="47"/>
      <c r="L15" s="533"/>
    </row>
    <row r="16" spans="2:13" ht="13.8" hidden="1">
      <c r="B16" s="715"/>
      <c r="C16" s="717"/>
      <c r="D16" s="15" t="s">
        <v>326</v>
      </c>
      <c r="E16" s="184"/>
      <c r="F16" s="184"/>
      <c r="G16" s="184"/>
      <c r="H16" s="591"/>
      <c r="I16" s="153">
        <v>0</v>
      </c>
      <c r="J16" s="192">
        <f t="shared" si="0"/>
        <v>0</v>
      </c>
      <c r="K16" s="47"/>
      <c r="L16" s="533"/>
    </row>
    <row r="17" spans="2:12" ht="13.8">
      <c r="B17" s="715"/>
      <c r="C17" s="717"/>
      <c r="D17" s="15" t="s">
        <v>368</v>
      </c>
      <c r="E17" s="184"/>
      <c r="F17" s="184"/>
      <c r="G17" s="184"/>
      <c r="H17" s="591">
        <v>144897.48000000001</v>
      </c>
      <c r="I17" s="153">
        <v>206500</v>
      </c>
      <c r="J17" s="192">
        <f t="shared" si="0"/>
        <v>70.17</v>
      </c>
      <c r="K17" s="47"/>
      <c r="L17" s="533"/>
    </row>
    <row r="18" spans="2:12" ht="13.8">
      <c r="B18" s="715"/>
      <c r="C18" s="717"/>
      <c r="D18" s="15" t="s">
        <v>374</v>
      </c>
      <c r="E18" s="184"/>
      <c r="F18" s="184"/>
      <c r="G18" s="184"/>
      <c r="H18" s="591"/>
      <c r="I18" s="153">
        <v>2800</v>
      </c>
      <c r="J18" s="192">
        <f t="shared" si="0"/>
        <v>0</v>
      </c>
      <c r="K18" s="47"/>
      <c r="L18" s="533"/>
    </row>
    <row r="19" spans="2:12" ht="13.8">
      <c r="B19" s="715"/>
      <c r="C19" s="717"/>
      <c r="D19" s="15" t="s">
        <v>375</v>
      </c>
      <c r="E19" s="184"/>
      <c r="F19" s="184"/>
      <c r="G19" s="184"/>
      <c r="H19" s="591"/>
      <c r="I19" s="153">
        <v>681900</v>
      </c>
      <c r="J19" s="192">
        <f t="shared" si="0"/>
        <v>0</v>
      </c>
      <c r="K19" s="47"/>
      <c r="L19" s="533"/>
    </row>
    <row r="20" spans="2:12" ht="13.8">
      <c r="B20" s="715"/>
      <c r="C20" s="717"/>
      <c r="D20" s="15" t="s">
        <v>376</v>
      </c>
      <c r="E20" s="184"/>
      <c r="F20" s="184"/>
      <c r="G20" s="184"/>
      <c r="H20" s="591">
        <v>1500</v>
      </c>
      <c r="I20" s="153">
        <v>1500</v>
      </c>
      <c r="J20" s="192">
        <f t="shared" si="0"/>
        <v>100</v>
      </c>
      <c r="K20" s="47"/>
      <c r="L20" s="533"/>
    </row>
    <row r="21" spans="2:12" ht="14.4" thickBot="1">
      <c r="B21" s="715"/>
      <c r="C21" s="717"/>
      <c r="D21" s="15" t="s">
        <v>366</v>
      </c>
      <c r="E21" s="184"/>
      <c r="F21" s="184"/>
      <c r="G21" s="184"/>
      <c r="H21" s="591">
        <v>11520</v>
      </c>
      <c r="I21" s="153">
        <v>12000</v>
      </c>
      <c r="J21" s="192">
        <f t="shared" si="0"/>
        <v>96</v>
      </c>
      <c r="K21" s="47"/>
      <c r="L21" s="533"/>
    </row>
    <row r="22" spans="2:12" ht="13.8" hidden="1">
      <c r="B22" s="715"/>
      <c r="C22" s="717"/>
      <c r="D22" s="52"/>
      <c r="E22" s="184"/>
      <c r="F22" s="184"/>
      <c r="G22" s="184"/>
      <c r="H22" s="184"/>
      <c r="I22" s="153">
        <v>0</v>
      </c>
      <c r="J22" s="192">
        <f t="shared" si="0"/>
        <v>0</v>
      </c>
      <c r="K22" s="47"/>
      <c r="L22" s="533"/>
    </row>
    <row r="23" spans="2:12" ht="14.4" hidden="1" thickBot="1">
      <c r="B23" s="716"/>
      <c r="C23" s="718"/>
      <c r="D23" s="3"/>
      <c r="E23" s="144"/>
      <c r="F23" s="144"/>
      <c r="G23" s="144"/>
      <c r="H23" s="144"/>
      <c r="I23" s="155">
        <v>0</v>
      </c>
      <c r="J23" s="193">
        <f t="shared" si="0"/>
        <v>0</v>
      </c>
      <c r="K23" s="47"/>
      <c r="L23" s="533"/>
    </row>
    <row r="24" spans="2:12" s="36" customFormat="1" ht="14.4" thickBot="1">
      <c r="B24" s="88" t="s">
        <v>138</v>
      </c>
      <c r="C24" s="614" t="s">
        <v>139</v>
      </c>
      <c r="D24" s="615"/>
      <c r="E24" s="33">
        <v>79908</v>
      </c>
      <c r="F24" s="33"/>
      <c r="G24" s="381">
        <v>75693</v>
      </c>
      <c r="H24" s="381">
        <f>SUM(H25:H29)</f>
        <v>107849.53999999998</v>
      </c>
      <c r="I24" s="33">
        <f>SUM(I25:I29)</f>
        <v>108560</v>
      </c>
      <c r="J24" s="358">
        <f t="shared" si="0"/>
        <v>99.35</v>
      </c>
      <c r="L24" s="533"/>
    </row>
    <row r="25" spans="2:12" ht="13.8">
      <c r="B25" s="86"/>
      <c r="C25" s="60"/>
      <c r="D25" s="52" t="s">
        <v>377</v>
      </c>
      <c r="E25" s="184"/>
      <c r="F25" s="184"/>
      <c r="G25" s="184">
        <v>23757.119999999999</v>
      </c>
      <c r="H25" s="184">
        <v>35969.53</v>
      </c>
      <c r="I25" s="153">
        <v>36000</v>
      </c>
      <c r="J25" s="192">
        <f t="shared" si="0"/>
        <v>99.92</v>
      </c>
      <c r="L25" s="533"/>
    </row>
    <row r="26" spans="2:12" ht="13.8">
      <c r="B26" s="86"/>
      <c r="C26" s="60"/>
      <c r="D26" s="52" t="s">
        <v>378</v>
      </c>
      <c r="E26" s="184"/>
      <c r="F26" s="184"/>
      <c r="G26" s="184">
        <v>29104.44</v>
      </c>
      <c r="H26" s="591">
        <v>2200</v>
      </c>
      <c r="I26" s="153">
        <v>2200</v>
      </c>
      <c r="J26" s="192">
        <f t="shared" si="0"/>
        <v>100</v>
      </c>
      <c r="L26" s="533"/>
    </row>
    <row r="27" spans="2:12" ht="13.8">
      <c r="B27" s="86"/>
      <c r="C27" s="60"/>
      <c r="D27" s="52" t="s">
        <v>379</v>
      </c>
      <c r="E27" s="184"/>
      <c r="F27" s="184"/>
      <c r="G27" s="184"/>
      <c r="H27" s="184">
        <v>28928.71</v>
      </c>
      <c r="I27" s="153">
        <v>29360</v>
      </c>
      <c r="J27" s="192">
        <f t="shared" si="0"/>
        <v>98.53</v>
      </c>
      <c r="L27" s="533"/>
    </row>
    <row r="28" spans="2:12" ht="13.8">
      <c r="B28" s="86"/>
      <c r="C28" s="60"/>
      <c r="D28" s="52" t="s">
        <v>380</v>
      </c>
      <c r="E28" s="42"/>
      <c r="F28" s="42"/>
      <c r="G28" s="42"/>
      <c r="H28" s="42">
        <v>19756.98</v>
      </c>
      <c r="I28" s="174">
        <v>20000</v>
      </c>
      <c r="J28" s="194">
        <f t="shared" si="0"/>
        <v>98.78</v>
      </c>
      <c r="L28" s="533"/>
    </row>
    <row r="29" spans="2:12" ht="14.4" thickBot="1">
      <c r="B29" s="86"/>
      <c r="C29" s="60"/>
      <c r="D29" s="52" t="s">
        <v>381</v>
      </c>
      <c r="E29" s="144"/>
      <c r="F29" s="144"/>
      <c r="G29" s="144">
        <v>22831.440000000002</v>
      </c>
      <c r="H29" s="144">
        <v>20994.32</v>
      </c>
      <c r="I29" s="155">
        <v>21000</v>
      </c>
      <c r="J29" s="193">
        <f t="shared" si="0"/>
        <v>99.97</v>
      </c>
      <c r="L29" s="533"/>
    </row>
    <row r="30" spans="2:12" s="36" customFormat="1" ht="14.4" thickBot="1">
      <c r="B30" s="134" t="s">
        <v>27</v>
      </c>
      <c r="C30" s="614" t="s">
        <v>28</v>
      </c>
      <c r="D30" s="615"/>
      <c r="E30" s="33">
        <v>93729</v>
      </c>
      <c r="F30" s="33">
        <v>28919</v>
      </c>
      <c r="G30" s="33">
        <v>0</v>
      </c>
      <c r="H30" s="381">
        <f>H31</f>
        <v>69453.41</v>
      </c>
      <c r="I30" s="33">
        <v>100000</v>
      </c>
      <c r="J30" s="358">
        <f t="shared" si="0"/>
        <v>69.45</v>
      </c>
      <c r="L30" s="533"/>
    </row>
    <row r="31" spans="2:12" ht="14.4" thickBot="1">
      <c r="B31" s="121"/>
      <c r="C31" s="59"/>
      <c r="D31" s="51" t="s">
        <v>371</v>
      </c>
      <c r="E31" s="184"/>
      <c r="F31" s="184">
        <v>28919</v>
      </c>
      <c r="G31" s="184"/>
      <c r="H31" s="184">
        <v>69453.41</v>
      </c>
      <c r="I31" s="153">
        <v>100000</v>
      </c>
      <c r="J31" s="192">
        <f t="shared" si="0"/>
        <v>69.45</v>
      </c>
      <c r="L31" s="533"/>
    </row>
    <row r="32" spans="2:12" ht="14.4" hidden="1" thickBot="1">
      <c r="B32" s="86"/>
      <c r="C32" s="60"/>
      <c r="D32" s="57" t="s">
        <v>278</v>
      </c>
      <c r="E32" s="184"/>
      <c r="F32" s="184"/>
      <c r="G32" s="184"/>
      <c r="H32" s="184"/>
      <c r="I32" s="153">
        <v>0</v>
      </c>
      <c r="J32" s="192">
        <f t="shared" si="0"/>
        <v>0</v>
      </c>
      <c r="L32" s="533"/>
    </row>
    <row r="33" spans="2:13" ht="14.4" hidden="1" thickBot="1">
      <c r="B33" s="86"/>
      <c r="C33" s="60"/>
      <c r="D33" s="52" t="s">
        <v>295</v>
      </c>
      <c r="E33" s="184"/>
      <c r="F33" s="184"/>
      <c r="G33" s="184"/>
      <c r="H33" s="184"/>
      <c r="I33" s="153">
        <v>0</v>
      </c>
      <c r="J33" s="192">
        <f t="shared" si="0"/>
        <v>0</v>
      </c>
      <c r="L33" s="533"/>
    </row>
    <row r="34" spans="2:13" ht="14.4" hidden="1" thickBot="1">
      <c r="B34" s="86"/>
      <c r="C34" s="60"/>
      <c r="D34" s="3" t="s">
        <v>271</v>
      </c>
      <c r="E34" s="144"/>
      <c r="F34" s="144"/>
      <c r="G34" s="144"/>
      <c r="H34" s="144"/>
      <c r="I34" s="153">
        <v>0</v>
      </c>
      <c r="J34" s="192">
        <f t="shared" si="0"/>
        <v>0</v>
      </c>
      <c r="L34" s="533"/>
    </row>
    <row r="35" spans="2:13" ht="14.4" hidden="1" thickBot="1">
      <c r="B35" s="87"/>
      <c r="C35" s="61"/>
      <c r="D35" s="52" t="s">
        <v>270</v>
      </c>
      <c r="E35" s="144"/>
      <c r="F35" s="144"/>
      <c r="G35" s="144"/>
      <c r="H35" s="144"/>
      <c r="I35" s="155">
        <v>0</v>
      </c>
      <c r="J35" s="193">
        <f t="shared" si="0"/>
        <v>0</v>
      </c>
      <c r="L35" s="533"/>
    </row>
    <row r="36" spans="2:13" s="36" customFormat="1" ht="14.4" hidden="1" thickBot="1">
      <c r="B36" s="111" t="s">
        <v>140</v>
      </c>
      <c r="C36" s="726" t="s">
        <v>141</v>
      </c>
      <c r="D36" s="726"/>
      <c r="E36" s="293"/>
      <c r="F36" s="293"/>
      <c r="G36" s="293"/>
      <c r="H36" s="293"/>
      <c r="I36" s="162">
        <v>0</v>
      </c>
      <c r="J36" s="358">
        <f t="shared" ref="J36:J65" si="1">IF(I36=0,0,ROUND((H36/I36)*100,2))</f>
        <v>0</v>
      </c>
      <c r="L36" s="533"/>
    </row>
    <row r="37" spans="2:13" ht="14.4" hidden="1" thickBot="1">
      <c r="B37" s="86"/>
      <c r="C37" s="60"/>
      <c r="D37" s="144"/>
      <c r="E37" s="144"/>
      <c r="F37" s="144"/>
      <c r="G37" s="144"/>
      <c r="H37" s="144"/>
      <c r="I37" s="155">
        <v>0</v>
      </c>
      <c r="J37" s="193">
        <f t="shared" si="1"/>
        <v>0</v>
      </c>
      <c r="L37" s="533"/>
    </row>
    <row r="38" spans="2:13" ht="14.4" thickBot="1">
      <c r="B38" s="64" t="s">
        <v>157</v>
      </c>
      <c r="C38" s="614" t="s">
        <v>158</v>
      </c>
      <c r="D38" s="615"/>
      <c r="E38" s="33">
        <v>3603230</v>
      </c>
      <c r="F38" s="33">
        <v>1781346</v>
      </c>
      <c r="G38" s="33">
        <v>11891.04</v>
      </c>
      <c r="H38" s="381">
        <v>1099.52</v>
      </c>
      <c r="I38" s="33"/>
      <c r="J38" s="358">
        <f t="shared" si="1"/>
        <v>0</v>
      </c>
      <c r="L38" s="533"/>
    </row>
    <row r="39" spans="2:13" ht="13.8" hidden="1">
      <c r="B39" s="719"/>
      <c r="C39" s="724"/>
      <c r="D39" s="57" t="s">
        <v>327</v>
      </c>
      <c r="E39" s="184"/>
      <c r="F39" s="184"/>
      <c r="G39" s="184">
        <v>11891.04</v>
      </c>
      <c r="H39" s="184"/>
      <c r="I39" s="153"/>
      <c r="J39" s="192">
        <f t="shared" si="1"/>
        <v>0</v>
      </c>
      <c r="K39" s="47"/>
      <c r="L39" s="533"/>
    </row>
    <row r="40" spans="2:13" ht="13.8" hidden="1">
      <c r="B40" s="715"/>
      <c r="C40" s="727"/>
      <c r="D40" s="57" t="s">
        <v>349</v>
      </c>
      <c r="E40" s="184"/>
      <c r="F40" s="184"/>
      <c r="G40" s="184"/>
      <c r="H40" s="184"/>
      <c r="I40" s="153"/>
      <c r="J40" s="192">
        <f t="shared" si="1"/>
        <v>0</v>
      </c>
      <c r="K40" s="47"/>
      <c r="L40" s="533"/>
    </row>
    <row r="41" spans="2:13" ht="13.8" hidden="1">
      <c r="B41" s="715"/>
      <c r="C41" s="727"/>
      <c r="D41" s="52" t="s">
        <v>350</v>
      </c>
      <c r="E41" s="42"/>
      <c r="F41" s="42"/>
      <c r="G41" s="42"/>
      <c r="H41" s="42"/>
      <c r="I41" s="174"/>
      <c r="J41" s="194">
        <f t="shared" si="1"/>
        <v>0</v>
      </c>
      <c r="K41" s="47"/>
      <c r="L41" s="533"/>
    </row>
    <row r="42" spans="2:13" ht="13.8" hidden="1">
      <c r="B42" s="715"/>
      <c r="C42" s="727"/>
      <c r="D42" s="52" t="s">
        <v>351</v>
      </c>
      <c r="E42" s="42"/>
      <c r="F42" s="42"/>
      <c r="G42" s="42"/>
      <c r="H42" s="42"/>
      <c r="I42" s="174"/>
      <c r="J42" s="194">
        <f t="shared" si="1"/>
        <v>0</v>
      </c>
      <c r="K42" s="47"/>
      <c r="L42" s="533"/>
    </row>
    <row r="43" spans="2:13" ht="13.8" hidden="1">
      <c r="B43" s="715"/>
      <c r="C43" s="727"/>
      <c r="D43" s="52" t="s">
        <v>236</v>
      </c>
      <c r="E43" s="42"/>
      <c r="F43" s="42">
        <f>1782446-1100</f>
        <v>1781346</v>
      </c>
      <c r="G43" s="42"/>
      <c r="H43" s="42"/>
      <c r="I43" s="174"/>
      <c r="J43" s="194">
        <f t="shared" si="1"/>
        <v>0</v>
      </c>
      <c r="L43" s="533"/>
      <c r="M43" s="47"/>
    </row>
    <row r="44" spans="2:13" ht="13.8" hidden="1">
      <c r="B44" s="715"/>
      <c r="C44" s="727"/>
      <c r="D44" s="62" t="s">
        <v>284</v>
      </c>
      <c r="E44" s="144"/>
      <c r="F44" s="144"/>
      <c r="G44" s="144"/>
      <c r="H44" s="144"/>
      <c r="I44" s="155"/>
      <c r="J44" s="193">
        <f t="shared" si="1"/>
        <v>0</v>
      </c>
      <c r="L44" s="533"/>
    </row>
    <row r="45" spans="2:13" ht="14.4" hidden="1" thickBot="1">
      <c r="B45" s="716"/>
      <c r="C45" s="725"/>
      <c r="D45" s="53" t="s">
        <v>285</v>
      </c>
      <c r="E45" s="44"/>
      <c r="F45" s="44"/>
      <c r="G45" s="44"/>
      <c r="H45" s="44"/>
      <c r="I45" s="154"/>
      <c r="J45" s="355">
        <f t="shared" si="1"/>
        <v>0</v>
      </c>
      <c r="L45" s="533"/>
    </row>
    <row r="46" spans="2:13" s="36" customFormat="1" ht="14.4" thickBot="1">
      <c r="B46" s="111" t="s">
        <v>142</v>
      </c>
      <c r="C46" s="720" t="s">
        <v>143</v>
      </c>
      <c r="D46" s="720"/>
      <c r="E46" s="169">
        <v>68225</v>
      </c>
      <c r="F46" s="169">
        <v>5000</v>
      </c>
      <c r="G46" s="535">
        <v>35480.800000000003</v>
      </c>
      <c r="H46" s="535">
        <f>H47</f>
        <v>555131.6</v>
      </c>
      <c r="I46" s="169">
        <v>558201</v>
      </c>
      <c r="J46" s="360">
        <f t="shared" si="1"/>
        <v>99.45</v>
      </c>
      <c r="L46" s="533"/>
    </row>
    <row r="47" spans="2:13" s="36" customFormat="1" ht="13.5" customHeight="1">
      <c r="B47" s="661"/>
      <c r="C47" s="728"/>
      <c r="D47" s="13" t="s">
        <v>370</v>
      </c>
      <c r="E47" s="303"/>
      <c r="F47" s="303"/>
      <c r="G47" s="303"/>
      <c r="H47" s="593">
        <v>555131.6</v>
      </c>
      <c r="I47" s="163">
        <v>558201</v>
      </c>
      <c r="J47" s="388">
        <f t="shared" si="1"/>
        <v>99.45</v>
      </c>
      <c r="L47" s="533"/>
    </row>
    <row r="48" spans="2:13" ht="14.4" thickBot="1">
      <c r="B48" s="663"/>
      <c r="C48" s="729"/>
      <c r="D48" s="15"/>
      <c r="E48" s="302"/>
      <c r="F48" s="302"/>
      <c r="G48" s="302"/>
      <c r="H48" s="302"/>
      <c r="I48" s="155"/>
      <c r="J48" s="193">
        <f t="shared" si="1"/>
        <v>0</v>
      </c>
      <c r="L48" s="533"/>
    </row>
    <row r="49" spans="2:13" s="36" customFormat="1" ht="14.4" thickBot="1">
      <c r="B49" s="88" t="s">
        <v>144</v>
      </c>
      <c r="C49" s="726" t="s">
        <v>145</v>
      </c>
      <c r="D49" s="726"/>
      <c r="E49" s="33">
        <v>3000</v>
      </c>
      <c r="F49" s="33">
        <v>16198</v>
      </c>
      <c r="G49" s="381">
        <v>1305435.6399999999</v>
      </c>
      <c r="H49" s="381">
        <f>SUM(H59:H78)</f>
        <v>139207.66</v>
      </c>
      <c r="I49" s="33">
        <f>SUM(I59:I78)</f>
        <v>167689</v>
      </c>
      <c r="J49" s="358">
        <f t="shared" si="1"/>
        <v>83.02</v>
      </c>
      <c r="L49" s="533"/>
    </row>
    <row r="50" spans="2:13" ht="13.8" hidden="1">
      <c r="B50" s="719"/>
      <c r="C50" s="724"/>
      <c r="D50" s="198" t="s">
        <v>266</v>
      </c>
      <c r="E50" s="322"/>
      <c r="F50" s="322"/>
      <c r="G50" s="536"/>
      <c r="H50" s="536"/>
      <c r="I50" s="173">
        <v>0</v>
      </c>
      <c r="J50" s="365">
        <f t="shared" si="1"/>
        <v>0</v>
      </c>
      <c r="K50" s="47"/>
      <c r="L50" s="533"/>
    </row>
    <row r="51" spans="2:13" ht="13.8" hidden="1">
      <c r="B51" s="715"/>
      <c r="C51" s="727"/>
      <c r="D51" s="199" t="s">
        <v>267</v>
      </c>
      <c r="E51" s="323"/>
      <c r="F51" s="323"/>
      <c r="G51" s="537"/>
      <c r="H51" s="537"/>
      <c r="I51" s="153">
        <v>0</v>
      </c>
      <c r="J51" s="192">
        <f t="shared" si="1"/>
        <v>0</v>
      </c>
      <c r="L51" s="533"/>
    </row>
    <row r="52" spans="2:13" ht="13.8" hidden="1">
      <c r="B52" s="715"/>
      <c r="C52" s="727"/>
      <c r="D52" s="199" t="s">
        <v>255</v>
      </c>
      <c r="E52" s="323"/>
      <c r="F52" s="323"/>
      <c r="G52" s="537"/>
      <c r="H52" s="537"/>
      <c r="I52" s="153">
        <v>0</v>
      </c>
      <c r="J52" s="192">
        <f t="shared" si="1"/>
        <v>0</v>
      </c>
      <c r="L52" s="533"/>
    </row>
    <row r="53" spans="2:13" ht="13.8" hidden="1">
      <c r="B53" s="715"/>
      <c r="C53" s="727"/>
      <c r="D53" s="199" t="s">
        <v>213</v>
      </c>
      <c r="E53" s="323"/>
      <c r="F53" s="323"/>
      <c r="G53" s="537"/>
      <c r="H53" s="537"/>
      <c r="I53" s="153">
        <v>0</v>
      </c>
      <c r="J53" s="192">
        <f t="shared" si="1"/>
        <v>0</v>
      </c>
      <c r="L53" s="533"/>
    </row>
    <row r="54" spans="2:13" ht="13.8" hidden="1">
      <c r="B54" s="715"/>
      <c r="C54" s="727"/>
      <c r="D54" s="199" t="s">
        <v>241</v>
      </c>
      <c r="E54" s="323"/>
      <c r="F54" s="323"/>
      <c r="G54" s="537"/>
      <c r="H54" s="537"/>
      <c r="I54" s="153">
        <v>0</v>
      </c>
      <c r="J54" s="192">
        <f t="shared" si="1"/>
        <v>0</v>
      </c>
      <c r="L54" s="533"/>
    </row>
    <row r="55" spans="2:13" ht="13.8" hidden="1">
      <c r="B55" s="715"/>
      <c r="C55" s="727"/>
      <c r="D55" s="526" t="s">
        <v>262</v>
      </c>
      <c r="E55" s="527"/>
      <c r="F55" s="527"/>
      <c r="G55" s="538"/>
      <c r="H55" s="538"/>
      <c r="I55" s="155">
        <v>0</v>
      </c>
      <c r="J55" s="193">
        <f t="shared" si="1"/>
        <v>0</v>
      </c>
      <c r="L55" s="533"/>
    </row>
    <row r="56" spans="2:13" ht="13.8" hidden="1">
      <c r="B56" s="715"/>
      <c r="C56" s="727"/>
      <c r="D56" s="200" t="s">
        <v>263</v>
      </c>
      <c r="E56" s="324"/>
      <c r="F56" s="324"/>
      <c r="G56" s="539"/>
      <c r="H56" s="539"/>
      <c r="I56" s="155">
        <v>0</v>
      </c>
      <c r="J56" s="193">
        <f t="shared" si="1"/>
        <v>0</v>
      </c>
      <c r="L56" s="533"/>
    </row>
    <row r="57" spans="2:13" ht="13.8" hidden="1">
      <c r="B57" s="715"/>
      <c r="C57" s="727"/>
      <c r="D57" s="199" t="s">
        <v>264</v>
      </c>
      <c r="E57" s="324"/>
      <c r="F57" s="324"/>
      <c r="G57" s="539"/>
      <c r="H57" s="539"/>
      <c r="I57" s="155">
        <v>0</v>
      </c>
      <c r="J57" s="193">
        <f t="shared" si="1"/>
        <v>0</v>
      </c>
      <c r="L57" s="533"/>
    </row>
    <row r="58" spans="2:13" ht="13.8" hidden="1">
      <c r="B58" s="715"/>
      <c r="C58" s="727"/>
      <c r="D58" s="52" t="s">
        <v>277</v>
      </c>
      <c r="E58" s="42"/>
      <c r="F58" s="42"/>
      <c r="G58" s="498"/>
      <c r="H58" s="498"/>
      <c r="I58" s="174">
        <v>0</v>
      </c>
      <c r="J58" s="194">
        <f t="shared" si="1"/>
        <v>0</v>
      </c>
      <c r="L58" s="533"/>
    </row>
    <row r="59" spans="2:13" ht="13.8">
      <c r="B59" s="715"/>
      <c r="C59" s="727"/>
      <c r="D59" s="576" t="s">
        <v>382</v>
      </c>
      <c r="E59" s="42"/>
      <c r="F59" s="42"/>
      <c r="G59" s="498"/>
      <c r="H59" s="498">
        <v>1289.08</v>
      </c>
      <c r="I59" s="174">
        <v>1300</v>
      </c>
      <c r="J59" s="194">
        <f t="shared" si="1"/>
        <v>99.16</v>
      </c>
      <c r="L59" s="533"/>
    </row>
    <row r="60" spans="2:13" ht="13.8" hidden="1">
      <c r="B60" s="715"/>
      <c r="C60" s="727"/>
      <c r="D60" s="24" t="s">
        <v>383</v>
      </c>
      <c r="E60" s="42"/>
      <c r="F60" s="42"/>
      <c r="G60" s="498"/>
      <c r="H60" s="498"/>
      <c r="I60" s="174">
        <v>0</v>
      </c>
      <c r="J60" s="194">
        <f t="shared" si="1"/>
        <v>0</v>
      </c>
      <c r="L60" s="533"/>
    </row>
    <row r="61" spans="2:13" ht="12.75" hidden="1" customHeight="1">
      <c r="B61" s="715"/>
      <c r="C61" s="727"/>
      <c r="D61" s="24" t="s">
        <v>384</v>
      </c>
      <c r="E61" s="42"/>
      <c r="F61" s="42"/>
      <c r="G61" s="498"/>
      <c r="H61" s="498"/>
      <c r="I61" s="174">
        <v>0</v>
      </c>
      <c r="J61" s="194">
        <f t="shared" si="1"/>
        <v>0</v>
      </c>
      <c r="L61" s="533"/>
    </row>
    <row r="62" spans="2:13" ht="13.8" hidden="1">
      <c r="B62" s="715"/>
      <c r="C62" s="727"/>
      <c r="D62" s="24" t="s">
        <v>213</v>
      </c>
      <c r="E62" s="42"/>
      <c r="F62" s="42"/>
      <c r="G62" s="498"/>
      <c r="H62" s="498"/>
      <c r="I62" s="174">
        <v>0</v>
      </c>
      <c r="J62" s="194">
        <f t="shared" si="1"/>
        <v>0</v>
      </c>
      <c r="L62" s="533"/>
      <c r="M62" s="203"/>
    </row>
    <row r="63" spans="2:13" ht="13.8" hidden="1">
      <c r="B63" s="715"/>
      <c r="C63" s="727"/>
      <c r="D63" s="24" t="s">
        <v>241</v>
      </c>
      <c r="E63" s="42"/>
      <c r="F63" s="42"/>
      <c r="G63" s="498"/>
      <c r="H63" s="498"/>
      <c r="I63" s="174">
        <v>0</v>
      </c>
      <c r="J63" s="194">
        <f t="shared" si="1"/>
        <v>0</v>
      </c>
      <c r="L63" s="533"/>
    </row>
    <row r="64" spans="2:13" ht="13.8" hidden="1">
      <c r="B64" s="715"/>
      <c r="C64" s="727"/>
      <c r="D64" s="577" t="s">
        <v>262</v>
      </c>
      <c r="E64" s="42"/>
      <c r="F64" s="42"/>
      <c r="G64" s="498"/>
      <c r="H64" s="498"/>
      <c r="I64" s="174">
        <v>0</v>
      </c>
      <c r="J64" s="194">
        <f t="shared" si="1"/>
        <v>0</v>
      </c>
      <c r="K64" s="47"/>
      <c r="L64" s="533"/>
    </row>
    <row r="65" spans="2:12" ht="13.8" hidden="1">
      <c r="B65" s="715"/>
      <c r="C65" s="727"/>
      <c r="D65" s="438" t="s">
        <v>263</v>
      </c>
      <c r="E65" s="42"/>
      <c r="F65" s="42"/>
      <c r="G65" s="498"/>
      <c r="H65" s="498"/>
      <c r="I65" s="174">
        <v>0</v>
      </c>
      <c r="J65" s="194">
        <f t="shared" si="1"/>
        <v>0</v>
      </c>
      <c r="L65" s="533"/>
    </row>
    <row r="66" spans="2:12" ht="13.8" hidden="1">
      <c r="B66" s="715"/>
      <c r="C66" s="727"/>
      <c r="D66" s="24" t="s">
        <v>264</v>
      </c>
      <c r="E66" s="42"/>
      <c r="F66" s="42"/>
      <c r="G66" s="498"/>
      <c r="H66" s="498"/>
      <c r="I66" s="174">
        <v>0</v>
      </c>
      <c r="J66" s="194"/>
      <c r="L66" s="533"/>
    </row>
    <row r="67" spans="2:12" ht="13.8" hidden="1">
      <c r="B67" s="715"/>
      <c r="C67" s="727"/>
      <c r="D67" s="15" t="s">
        <v>277</v>
      </c>
      <c r="E67" s="42"/>
      <c r="F67" s="42"/>
      <c r="G67" s="498"/>
      <c r="H67" s="498"/>
      <c r="I67" s="174">
        <v>0</v>
      </c>
      <c r="J67" s="194"/>
      <c r="L67" s="533"/>
    </row>
    <row r="68" spans="2:12" ht="13.8" hidden="1">
      <c r="B68" s="715"/>
      <c r="C68" s="727"/>
      <c r="D68" s="15" t="s">
        <v>290</v>
      </c>
      <c r="E68" s="42"/>
      <c r="F68" s="42"/>
      <c r="G68" s="498"/>
      <c r="H68" s="498"/>
      <c r="I68" s="174">
        <v>0</v>
      </c>
      <c r="J68" s="194"/>
      <c r="L68" s="533"/>
    </row>
    <row r="69" spans="2:12" ht="13.8" hidden="1">
      <c r="B69" s="715"/>
      <c r="C69" s="727"/>
      <c r="D69" s="15"/>
      <c r="E69" s="42"/>
      <c r="F69" s="42"/>
      <c r="G69" s="498"/>
      <c r="H69" s="498"/>
      <c r="I69" s="174">
        <v>0</v>
      </c>
      <c r="J69" s="194"/>
      <c r="L69" s="533"/>
    </row>
    <row r="70" spans="2:12" ht="13.8" hidden="1">
      <c r="B70" s="715"/>
      <c r="C70" s="727"/>
      <c r="D70" s="15" t="s">
        <v>294</v>
      </c>
      <c r="E70" s="42"/>
      <c r="F70" s="42"/>
      <c r="G70" s="498"/>
      <c r="H70" s="498"/>
      <c r="I70" s="174">
        <v>0</v>
      </c>
      <c r="J70" s="194"/>
      <c r="L70" s="533"/>
    </row>
    <row r="71" spans="2:12" ht="13.8">
      <c r="B71" s="715"/>
      <c r="C71" s="727"/>
      <c r="D71" s="15" t="s">
        <v>318</v>
      </c>
      <c r="E71" s="42"/>
      <c r="F71" s="42"/>
      <c r="G71" s="498"/>
      <c r="H71" s="498">
        <v>95467.839999999997</v>
      </c>
      <c r="I71" s="174">
        <v>95468</v>
      </c>
      <c r="J71" s="194">
        <f t="shared" ref="J71:J78" si="2">IF(I71=0,0,ROUND((H71/I71)*100,2))</f>
        <v>100</v>
      </c>
      <c r="L71" s="533"/>
    </row>
    <row r="72" spans="2:12" ht="13.8">
      <c r="B72" s="715"/>
      <c r="C72" s="727"/>
      <c r="D72" s="15" t="s">
        <v>385</v>
      </c>
      <c r="E72" s="42"/>
      <c r="F72" s="42"/>
      <c r="G72" s="498"/>
      <c r="H72" s="498">
        <v>38905.74</v>
      </c>
      <c r="I72" s="174">
        <v>40000</v>
      </c>
      <c r="J72" s="194">
        <f t="shared" si="2"/>
        <v>97.26</v>
      </c>
      <c r="L72" s="533"/>
    </row>
    <row r="73" spans="2:12" ht="13.8" hidden="1">
      <c r="B73" s="715"/>
      <c r="C73" s="727"/>
      <c r="D73" s="15" t="s">
        <v>386</v>
      </c>
      <c r="E73" s="42"/>
      <c r="F73" s="42"/>
      <c r="G73" s="498"/>
      <c r="H73" s="498"/>
      <c r="I73" s="174">
        <v>0</v>
      </c>
      <c r="J73" s="194">
        <f t="shared" si="2"/>
        <v>0</v>
      </c>
      <c r="L73" s="533"/>
    </row>
    <row r="74" spans="2:12" ht="13.8" hidden="1">
      <c r="B74" s="715"/>
      <c r="C74" s="727"/>
      <c r="D74" s="15" t="s">
        <v>387</v>
      </c>
      <c r="E74" s="42"/>
      <c r="F74" s="42"/>
      <c r="G74" s="498"/>
      <c r="H74" s="498"/>
      <c r="I74" s="174">
        <v>0</v>
      </c>
      <c r="J74" s="194">
        <f t="shared" si="2"/>
        <v>0</v>
      </c>
      <c r="L74" s="533"/>
    </row>
    <row r="75" spans="2:12" ht="13.8" hidden="1">
      <c r="B75" s="715"/>
      <c r="C75" s="727"/>
      <c r="D75" s="15" t="s">
        <v>291</v>
      </c>
      <c r="E75" s="42"/>
      <c r="F75" s="42"/>
      <c r="G75" s="498"/>
      <c r="H75" s="498"/>
      <c r="I75" s="174">
        <v>0</v>
      </c>
      <c r="J75" s="194">
        <f t="shared" si="2"/>
        <v>0</v>
      </c>
      <c r="L75" s="533"/>
    </row>
    <row r="76" spans="2:12" ht="13.8">
      <c r="B76" s="715"/>
      <c r="C76" s="727"/>
      <c r="D76" s="15" t="s">
        <v>388</v>
      </c>
      <c r="E76" s="42"/>
      <c r="F76" s="42"/>
      <c r="G76" s="498"/>
      <c r="H76" s="498"/>
      <c r="I76" s="174">
        <v>2200</v>
      </c>
      <c r="J76" s="194">
        <f t="shared" si="2"/>
        <v>0</v>
      </c>
      <c r="L76" s="533"/>
    </row>
    <row r="77" spans="2:12" ht="13.8">
      <c r="B77" s="715"/>
      <c r="C77" s="727"/>
      <c r="D77" s="15" t="s">
        <v>389</v>
      </c>
      <c r="E77" s="42"/>
      <c r="F77" s="42"/>
      <c r="G77" s="498"/>
      <c r="H77" s="498"/>
      <c r="I77" s="174">
        <v>4221</v>
      </c>
      <c r="J77" s="194">
        <f t="shared" si="2"/>
        <v>0</v>
      </c>
      <c r="L77" s="533"/>
    </row>
    <row r="78" spans="2:12" ht="14.4" thickBot="1">
      <c r="B78" s="715"/>
      <c r="C78" s="727"/>
      <c r="D78" s="109" t="s">
        <v>213</v>
      </c>
      <c r="E78" s="42"/>
      <c r="F78" s="42"/>
      <c r="G78" s="498"/>
      <c r="H78" s="498">
        <v>3545</v>
      </c>
      <c r="I78" s="174">
        <v>24500</v>
      </c>
      <c r="J78" s="194">
        <f t="shared" si="2"/>
        <v>14.47</v>
      </c>
      <c r="L78" s="533"/>
    </row>
    <row r="79" spans="2:12" ht="15.75" hidden="1" customHeight="1" thickBot="1">
      <c r="B79" s="80" t="s">
        <v>150</v>
      </c>
      <c r="C79" s="628" t="s">
        <v>151</v>
      </c>
      <c r="D79" s="629"/>
      <c r="E79" s="295"/>
      <c r="F79" s="295"/>
      <c r="G79" s="540"/>
      <c r="H79" s="540"/>
      <c r="I79" s="169">
        <v>0</v>
      </c>
      <c r="J79" s="360">
        <f t="shared" ref="J79:J84" si="3">IF(I79=0,0,ROUND((H79/I79)*100,2))</f>
        <v>0</v>
      </c>
    </row>
    <row r="80" spans="2:12" ht="13.5" hidden="1" customHeight="1">
      <c r="B80" s="86"/>
      <c r="C80" s="60"/>
      <c r="D80" s="52" t="s">
        <v>205</v>
      </c>
      <c r="E80" s="42"/>
      <c r="F80" s="42"/>
      <c r="G80" s="498"/>
      <c r="H80" s="498"/>
      <c r="I80" s="174">
        <v>0</v>
      </c>
      <c r="J80" s="194">
        <f t="shared" si="3"/>
        <v>0</v>
      </c>
    </row>
    <row r="81" spans="2:13" ht="13.5" hidden="1" customHeight="1">
      <c r="B81" s="86"/>
      <c r="C81" s="60"/>
      <c r="D81" s="52"/>
      <c r="E81" s="42"/>
      <c r="F81" s="42"/>
      <c r="G81" s="498"/>
      <c r="H81" s="498"/>
      <c r="I81" s="174">
        <v>0</v>
      </c>
      <c r="J81" s="194">
        <f t="shared" si="3"/>
        <v>0</v>
      </c>
    </row>
    <row r="82" spans="2:13" ht="16.5" hidden="1" customHeight="1" thickBot="1">
      <c r="B82" s="86"/>
      <c r="C82" s="60"/>
      <c r="D82" s="62"/>
      <c r="E82" s="132"/>
      <c r="F82" s="132"/>
      <c r="G82" s="502"/>
      <c r="H82" s="502"/>
      <c r="I82" s="175">
        <v>0</v>
      </c>
      <c r="J82" s="353">
        <f t="shared" si="3"/>
        <v>0</v>
      </c>
    </row>
    <row r="83" spans="2:13" ht="14.4" thickBot="1">
      <c r="B83" s="88" t="s">
        <v>146</v>
      </c>
      <c r="C83" s="726" t="s">
        <v>147</v>
      </c>
      <c r="D83" s="726"/>
      <c r="E83" s="33">
        <v>38905</v>
      </c>
      <c r="F83" s="33">
        <v>6455</v>
      </c>
      <c r="G83" s="381">
        <v>131475.39000000001</v>
      </c>
      <c r="H83" s="381">
        <f>SUM(H84:H90)</f>
        <v>1775474.1500000001</v>
      </c>
      <c r="I83" s="33">
        <f>SUM(I84:I90)</f>
        <v>1793093</v>
      </c>
      <c r="J83" s="358">
        <f t="shared" si="3"/>
        <v>99.02</v>
      </c>
    </row>
    <row r="84" spans="2:13">
      <c r="B84" s="719"/>
      <c r="C84" s="724"/>
      <c r="D84" s="578" t="s">
        <v>390</v>
      </c>
      <c r="E84" s="40"/>
      <c r="F84" s="40"/>
      <c r="G84" s="40">
        <v>123141.28</v>
      </c>
      <c r="H84" s="40">
        <f>3237.4+876858.72+722338.77</f>
        <v>1602434.8900000001</v>
      </c>
      <c r="I84" s="173">
        <v>1617247</v>
      </c>
      <c r="J84" s="365">
        <f t="shared" si="3"/>
        <v>99.08</v>
      </c>
      <c r="K84" s="47"/>
    </row>
    <row r="85" spans="2:13">
      <c r="B85" s="715"/>
      <c r="C85" s="727"/>
      <c r="D85" s="441" t="s">
        <v>391</v>
      </c>
      <c r="E85" s="184"/>
      <c r="F85" s="184"/>
      <c r="G85" s="184"/>
      <c r="H85" s="184">
        <f>18221-128.61</f>
        <v>18092.39</v>
      </c>
      <c r="I85" s="153">
        <v>18221</v>
      </c>
      <c r="J85" s="194">
        <f t="shared" ref="J85:J90" si="4">IF(I85=0,0,ROUND((H85/I85)*100,2))</f>
        <v>99.29</v>
      </c>
      <c r="K85" s="47"/>
    </row>
    <row r="86" spans="2:13">
      <c r="B86" s="715"/>
      <c r="C86" s="727"/>
      <c r="D86" s="441" t="s">
        <v>392</v>
      </c>
      <c r="E86" s="184"/>
      <c r="F86" s="184"/>
      <c r="G86" s="184"/>
      <c r="H86" s="184">
        <v>16624.5</v>
      </c>
      <c r="I86" s="153">
        <v>16625</v>
      </c>
      <c r="J86" s="194">
        <f t="shared" si="4"/>
        <v>100</v>
      </c>
      <c r="K86" s="47"/>
    </row>
    <row r="87" spans="2:13">
      <c r="B87" s="715"/>
      <c r="C87" s="727"/>
      <c r="D87" s="441" t="s">
        <v>393</v>
      </c>
      <c r="E87" s="184"/>
      <c r="F87" s="184"/>
      <c r="G87" s="184"/>
      <c r="H87" s="184">
        <v>120000</v>
      </c>
      <c r="I87" s="153">
        <v>120000</v>
      </c>
      <c r="J87" s="194">
        <f t="shared" si="4"/>
        <v>100</v>
      </c>
      <c r="K87" s="47"/>
    </row>
    <row r="88" spans="2:13">
      <c r="B88" s="715"/>
      <c r="C88" s="727"/>
      <c r="D88" s="441" t="s">
        <v>394</v>
      </c>
      <c r="E88" s="184"/>
      <c r="F88" s="184"/>
      <c r="G88" s="184"/>
      <c r="H88" s="184">
        <v>14992.37</v>
      </c>
      <c r="I88" s="153">
        <v>15000</v>
      </c>
      <c r="J88" s="194">
        <f t="shared" si="4"/>
        <v>99.95</v>
      </c>
      <c r="K88" s="47"/>
    </row>
    <row r="89" spans="2:13">
      <c r="B89" s="715"/>
      <c r="C89" s="727"/>
      <c r="D89" s="441" t="s">
        <v>395</v>
      </c>
      <c r="E89" s="184"/>
      <c r="F89" s="184"/>
      <c r="G89" s="184"/>
      <c r="H89" s="184">
        <v>3330</v>
      </c>
      <c r="I89" s="153">
        <v>4000</v>
      </c>
      <c r="J89" s="194">
        <f t="shared" si="4"/>
        <v>83.25</v>
      </c>
      <c r="K89" s="47"/>
    </row>
    <row r="90" spans="2:13" ht="13.8" thickBot="1">
      <c r="B90" s="715"/>
      <c r="C90" s="727"/>
      <c r="D90" s="441" t="s">
        <v>396</v>
      </c>
      <c r="E90" s="184"/>
      <c r="F90" s="184"/>
      <c r="G90" s="184"/>
      <c r="H90" s="184"/>
      <c r="I90" s="153">
        <v>2000</v>
      </c>
      <c r="J90" s="194">
        <f t="shared" si="4"/>
        <v>0</v>
      </c>
      <c r="K90" s="47"/>
    </row>
    <row r="91" spans="2:13" ht="14.4" thickBot="1">
      <c r="B91" s="88" t="s">
        <v>245</v>
      </c>
      <c r="C91" s="726" t="s">
        <v>38</v>
      </c>
      <c r="D91" s="726"/>
      <c r="E91" s="33">
        <v>0</v>
      </c>
      <c r="F91" s="33">
        <v>15848</v>
      </c>
      <c r="G91" s="381">
        <v>26915.190000000002</v>
      </c>
      <c r="H91" s="381">
        <f>SUM(H92:H93)</f>
        <v>9771.24</v>
      </c>
      <c r="I91" s="33">
        <f>SUM(I92:I93)</f>
        <v>21971</v>
      </c>
      <c r="J91" s="358">
        <f t="shared" ref="J91:J105" si="5">IF(I91=0,0,ROUND((H91/I91)*100,2))</f>
        <v>44.47</v>
      </c>
      <c r="M91" s="203"/>
    </row>
    <row r="92" spans="2:13">
      <c r="B92" s="719"/>
      <c r="C92" s="724"/>
      <c r="D92" s="51" t="s">
        <v>207</v>
      </c>
      <c r="E92" s="184"/>
      <c r="F92" s="184">
        <v>7000</v>
      </c>
      <c r="G92" s="184">
        <v>16662.2</v>
      </c>
      <c r="H92" s="184"/>
      <c r="I92" s="153">
        <v>12200</v>
      </c>
      <c r="J92" s="192">
        <f t="shared" si="5"/>
        <v>0</v>
      </c>
    </row>
    <row r="93" spans="2:13" ht="13.8" thickBot="1">
      <c r="B93" s="716"/>
      <c r="C93" s="725"/>
      <c r="D93" s="53" t="s">
        <v>317</v>
      </c>
      <c r="E93" s="44"/>
      <c r="F93" s="44">
        <v>8848</v>
      </c>
      <c r="G93" s="44">
        <v>10252.99</v>
      </c>
      <c r="H93" s="44">
        <v>9771.24</v>
      </c>
      <c r="I93" s="154">
        <v>9771</v>
      </c>
      <c r="J93" s="355">
        <f t="shared" si="5"/>
        <v>100</v>
      </c>
      <c r="M93" s="47"/>
    </row>
    <row r="94" spans="2:13" ht="14.4" thickBot="1">
      <c r="B94" s="111" t="s">
        <v>242</v>
      </c>
      <c r="C94" s="614" t="s">
        <v>41</v>
      </c>
      <c r="D94" s="615"/>
      <c r="E94" s="297"/>
      <c r="F94" s="334">
        <v>5500</v>
      </c>
      <c r="G94" s="274">
        <v>0</v>
      </c>
      <c r="H94" s="334">
        <f>H95</f>
        <v>0</v>
      </c>
      <c r="I94" s="169">
        <v>0</v>
      </c>
      <c r="J94" s="360">
        <f t="shared" si="5"/>
        <v>0</v>
      </c>
    </row>
    <row r="95" spans="2:13" ht="13.8" thickBot="1">
      <c r="B95" s="86"/>
      <c r="C95" s="60"/>
      <c r="D95" s="133" t="s">
        <v>218</v>
      </c>
      <c r="E95" s="144"/>
      <c r="F95" s="144"/>
      <c r="G95" s="144"/>
      <c r="H95" s="144"/>
      <c r="I95" s="155">
        <v>0</v>
      </c>
      <c r="J95" s="193">
        <f t="shared" si="5"/>
        <v>0</v>
      </c>
    </row>
    <row r="96" spans="2:13" ht="14.4" thickBot="1">
      <c r="B96" s="209" t="s">
        <v>148</v>
      </c>
      <c r="C96" s="730" t="s">
        <v>42</v>
      </c>
      <c r="D96" s="730"/>
      <c r="E96" s="33">
        <v>344577</v>
      </c>
      <c r="F96" s="33">
        <v>11076</v>
      </c>
      <c r="G96" s="33">
        <v>22611.84</v>
      </c>
      <c r="H96" s="381">
        <f>SUM(H97:H99)</f>
        <v>52135.360000000001</v>
      </c>
      <c r="I96" s="33">
        <f>SUM(I97:I99)</f>
        <v>56850</v>
      </c>
      <c r="J96" s="358">
        <f t="shared" si="5"/>
        <v>91.71</v>
      </c>
    </row>
    <row r="97" spans="2:13">
      <c r="B97" s="715"/>
      <c r="C97" s="727"/>
      <c r="D97" s="52" t="s">
        <v>397</v>
      </c>
      <c r="E97" s="184"/>
      <c r="F97" s="184"/>
      <c r="G97" s="184"/>
      <c r="H97" s="184">
        <v>8850</v>
      </c>
      <c r="I97" s="153">
        <v>8850</v>
      </c>
      <c r="J97" s="192">
        <f t="shared" si="5"/>
        <v>100</v>
      </c>
    </row>
    <row r="98" spans="2:13">
      <c r="B98" s="715"/>
      <c r="C98" s="727"/>
      <c r="D98" s="52" t="s">
        <v>398</v>
      </c>
      <c r="E98" s="184"/>
      <c r="F98" s="184"/>
      <c r="G98" s="184"/>
      <c r="H98" s="184">
        <v>31200</v>
      </c>
      <c r="I98" s="153">
        <v>34000</v>
      </c>
      <c r="J98" s="192">
        <f t="shared" si="5"/>
        <v>91.76</v>
      </c>
      <c r="K98" s="47"/>
    </row>
    <row r="99" spans="2:13" ht="13.8" thickBot="1">
      <c r="B99" s="715"/>
      <c r="C99" s="727"/>
      <c r="D99" s="52" t="s">
        <v>399</v>
      </c>
      <c r="E99" s="184"/>
      <c r="F99" s="184"/>
      <c r="G99" s="184"/>
      <c r="H99" s="184">
        <v>12085.36</v>
      </c>
      <c r="I99" s="153">
        <v>14000</v>
      </c>
      <c r="J99" s="192">
        <f t="shared" si="5"/>
        <v>86.32</v>
      </c>
    </row>
    <row r="100" spans="2:13" ht="14.25" customHeight="1" thickBot="1">
      <c r="B100" s="64" t="s">
        <v>71</v>
      </c>
      <c r="C100" s="614" t="s">
        <v>45</v>
      </c>
      <c r="D100" s="615"/>
      <c r="E100" s="294">
        <v>66000</v>
      </c>
      <c r="F100" s="294"/>
      <c r="G100" s="294"/>
      <c r="H100" s="294">
        <v>0</v>
      </c>
      <c r="I100" s="33">
        <v>0</v>
      </c>
      <c r="J100" s="358">
        <f t="shared" si="5"/>
        <v>0</v>
      </c>
    </row>
    <row r="101" spans="2:13" ht="13.8" hidden="1" thickBot="1">
      <c r="B101" s="528"/>
      <c r="C101" s="527"/>
      <c r="D101" s="527"/>
      <c r="E101" s="527"/>
      <c r="F101" s="527"/>
      <c r="G101" s="527"/>
      <c r="H101" s="527"/>
      <c r="I101" s="527">
        <v>0</v>
      </c>
      <c r="J101" s="546">
        <f t="shared" si="5"/>
        <v>0</v>
      </c>
    </row>
    <row r="102" spans="2:13" ht="14.25" hidden="1" customHeight="1" thickBot="1">
      <c r="B102" s="86"/>
      <c r="C102" s="60"/>
      <c r="D102" s="3" t="s">
        <v>252</v>
      </c>
      <c r="E102" s="144"/>
      <c r="F102" s="144"/>
      <c r="G102" s="144"/>
      <c r="H102" s="144"/>
      <c r="I102" s="155">
        <v>0</v>
      </c>
      <c r="J102" s="193">
        <f t="shared" si="5"/>
        <v>0</v>
      </c>
    </row>
    <row r="103" spans="2:13" ht="14.25" customHeight="1" thickBot="1">
      <c r="B103" s="213" t="s">
        <v>296</v>
      </c>
      <c r="C103" s="733" t="s">
        <v>70</v>
      </c>
      <c r="D103" s="734"/>
      <c r="E103" s="332"/>
      <c r="F103" s="332"/>
      <c r="G103" s="541">
        <v>82887.77</v>
      </c>
      <c r="H103" s="569">
        <f>H104</f>
        <v>7399.64</v>
      </c>
      <c r="I103" s="275">
        <f>I104</f>
        <v>7400</v>
      </c>
      <c r="J103" s="547">
        <f t="shared" si="5"/>
        <v>100</v>
      </c>
    </row>
    <row r="104" spans="2:13" ht="14.25" customHeight="1" thickBot="1">
      <c r="B104" s="86"/>
      <c r="C104" s="60"/>
      <c r="D104" s="527" t="s">
        <v>314</v>
      </c>
      <c r="E104" s="333"/>
      <c r="F104" s="527"/>
      <c r="G104" s="527">
        <v>82887.77</v>
      </c>
      <c r="H104" s="570">
        <v>7399.64</v>
      </c>
      <c r="I104" s="155">
        <v>7400</v>
      </c>
      <c r="J104" s="193">
        <f t="shared" si="5"/>
        <v>100</v>
      </c>
      <c r="L104" s="47"/>
    </row>
    <row r="105" spans="2:13" ht="16.8" thickTop="1" thickBot="1">
      <c r="B105" s="731" t="s">
        <v>149</v>
      </c>
      <c r="C105" s="732"/>
      <c r="D105" s="732"/>
      <c r="E105" s="72">
        <f>E96+E83+E91+E79+E49+E46+E38+E36+E30+E24+E10+E7+E4+E94+E100+E103</f>
        <v>4719096</v>
      </c>
      <c r="F105" s="72">
        <f>F96+F83+F91+F79+F49+F46+F38+F36+F30+F24+F10+F7+F4+F94+F100+F103</f>
        <v>3939694</v>
      </c>
      <c r="G105" s="459">
        <f>G96+G83+G91+G79+G49+G46+G38+G36+G30+G24+G10+G7+G4+G94+G100+G103</f>
        <v>1800938.79</v>
      </c>
      <c r="H105" s="459">
        <f>H96+H83+H91+H79+H49+H46+H38+H36+H30+H24+H10+H7+H4+H94+H100+H103</f>
        <v>2904600.1800000006</v>
      </c>
      <c r="I105" s="72">
        <f>I96+I83+I91+I79+I49+I46+I38+I36+I30+I24+I10+I7+I4+I94+I100+I103</f>
        <v>3833719</v>
      </c>
      <c r="J105" s="367">
        <f t="shared" si="5"/>
        <v>75.760000000000005</v>
      </c>
    </row>
    <row r="106" spans="2:13" ht="13.8" thickTop="1"/>
    <row r="108" spans="2:13" ht="15.6">
      <c r="G108" s="203"/>
      <c r="H108" s="203"/>
      <c r="I108" s="47"/>
      <c r="J108" s="47"/>
      <c r="L108" s="534"/>
    </row>
    <row r="109" spans="2:13">
      <c r="H109" s="203"/>
      <c r="I109" s="47"/>
      <c r="J109" s="47"/>
    </row>
    <row r="110" spans="2:13">
      <c r="L110" s="203"/>
    </row>
    <row r="111" spans="2:13">
      <c r="M111" s="203"/>
    </row>
    <row r="112" spans="2:13">
      <c r="L112" s="203"/>
    </row>
  </sheetData>
  <sheetProtection password="EE57" sheet="1" formatCells="0" formatColumns="0" formatRows="0" insertColumns="0" insertRows="0" insertHyperlinks="0" deleteColumns="0" deleteRows="0" sort="0" autoFilter="0" pivotTables="0"/>
  <mergeCells count="44">
    <mergeCell ref="J2:J3"/>
    <mergeCell ref="B105:D105"/>
    <mergeCell ref="C100:D100"/>
    <mergeCell ref="C94:D94"/>
    <mergeCell ref="C83:D83"/>
    <mergeCell ref="C91:D91"/>
    <mergeCell ref="B84:B90"/>
    <mergeCell ref="C38:D38"/>
    <mergeCell ref="C8:C9"/>
    <mergeCell ref="C36:D36"/>
    <mergeCell ref="B97:B99"/>
    <mergeCell ref="B92:B93"/>
    <mergeCell ref="C79:D79"/>
    <mergeCell ref="C103:D103"/>
    <mergeCell ref="C97:C99"/>
    <mergeCell ref="C84:C90"/>
    <mergeCell ref="B50:B78"/>
    <mergeCell ref="C50:C78"/>
    <mergeCell ref="C49:D49"/>
    <mergeCell ref="C92:C93"/>
    <mergeCell ref="C96:D96"/>
    <mergeCell ref="B39:B45"/>
    <mergeCell ref="C39:C45"/>
    <mergeCell ref="C47:C48"/>
    <mergeCell ref="B47:B48"/>
    <mergeCell ref="C46:D46"/>
    <mergeCell ref="B1:D1"/>
    <mergeCell ref="D2:D3"/>
    <mergeCell ref="B2:B3"/>
    <mergeCell ref="C2:C3"/>
    <mergeCell ref="C30:D30"/>
    <mergeCell ref="C5:C6"/>
    <mergeCell ref="C7:D7"/>
    <mergeCell ref="C10:D10"/>
    <mergeCell ref="I2:I3"/>
    <mergeCell ref="B11:B23"/>
    <mergeCell ref="C11:C23"/>
    <mergeCell ref="C24:D24"/>
    <mergeCell ref="B5:B6"/>
    <mergeCell ref="C4:D4"/>
    <mergeCell ref="F2:F3"/>
    <mergeCell ref="E2:E3"/>
    <mergeCell ref="G2:G3"/>
    <mergeCell ref="H2:H3"/>
  </mergeCells>
  <phoneticPr fontId="6" type="noConversion"/>
  <pageMargins left="0.25" right="0.25" top="0.75" bottom="0.75" header="0.3" footer="0.3"/>
  <pageSetup paperSize="9" scale="82" orientation="portrait" horizontalDpi="4294967293" r:id="rId1"/>
  <headerFooter alignWithMargins="0"/>
  <ignoredErrors>
    <ignoredError sqref="I96 I49 F7:J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Hárok5" enableFormatConditionsCalculation="0">
    <tabColor indexed="40"/>
  </sheetPr>
  <dimension ref="B1:O30"/>
  <sheetViews>
    <sheetView showGridLines="0" workbookViewId="0">
      <selection activeCell="H32" sqref="H32"/>
    </sheetView>
  </sheetViews>
  <sheetFormatPr defaultRowHeight="13.2"/>
  <cols>
    <col min="1" max="1" width="3.44140625" customWidth="1"/>
    <col min="2" max="2" width="9.6640625" customWidth="1"/>
    <col min="3" max="3" width="8.109375" customWidth="1"/>
    <col min="4" max="4" width="35.109375" customWidth="1"/>
    <col min="5" max="9" width="12" customWidth="1"/>
    <col min="10" max="10" width="11.5546875" customWidth="1"/>
    <col min="13" max="13" width="13.33203125" customWidth="1"/>
    <col min="15" max="15" width="10.109375" bestFit="1" customWidth="1"/>
  </cols>
  <sheetData>
    <row r="1" spans="2:12">
      <c r="B1" s="710" t="s">
        <v>166</v>
      </c>
      <c r="C1" s="710"/>
      <c r="D1" s="710"/>
      <c r="E1" s="215"/>
      <c r="F1" s="215"/>
      <c r="G1" s="215"/>
      <c r="H1" s="215"/>
      <c r="I1" s="215"/>
    </row>
    <row r="2" spans="2:12" ht="13.8" thickBot="1">
      <c r="B2" s="636" t="s">
        <v>167</v>
      </c>
      <c r="C2" s="636"/>
      <c r="D2" s="636"/>
      <c r="E2" s="214"/>
      <c r="F2" s="214"/>
      <c r="G2" s="214"/>
      <c r="H2" s="214"/>
      <c r="I2" s="214"/>
    </row>
    <row r="3" spans="2:12" ht="12.75" customHeight="1" thickTop="1">
      <c r="B3" s="647" t="s">
        <v>109</v>
      </c>
      <c r="C3" s="649" t="s">
        <v>59</v>
      </c>
      <c r="D3" s="643" t="s">
        <v>124</v>
      </c>
      <c r="E3" s="643" t="s">
        <v>333</v>
      </c>
      <c r="F3" s="643" t="s">
        <v>332</v>
      </c>
      <c r="G3" s="643" t="s">
        <v>345</v>
      </c>
      <c r="H3" s="643" t="s">
        <v>359</v>
      </c>
      <c r="I3" s="643" t="s">
        <v>360</v>
      </c>
      <c r="J3" s="645" t="s">
        <v>344</v>
      </c>
    </row>
    <row r="4" spans="2:12" ht="27" customHeight="1" thickBot="1">
      <c r="B4" s="648"/>
      <c r="C4" s="650"/>
      <c r="D4" s="644"/>
      <c r="E4" s="644"/>
      <c r="F4" s="644"/>
      <c r="G4" s="644"/>
      <c r="H4" s="644"/>
      <c r="I4" s="644"/>
      <c r="J4" s="646"/>
    </row>
    <row r="5" spans="2:12" ht="14.4" thickTop="1" thickBot="1">
      <c r="B5" s="124">
        <v>519</v>
      </c>
      <c r="C5" s="741" t="s">
        <v>161</v>
      </c>
      <c r="D5" s="742"/>
      <c r="E5" s="125">
        <f>SUM(E6:E7)</f>
        <v>796126</v>
      </c>
      <c r="F5" s="125">
        <f>SUM(F6:F7)</f>
        <v>889265</v>
      </c>
      <c r="G5" s="125">
        <f>SUM(G6:G7)</f>
        <v>1041848.1</v>
      </c>
      <c r="H5" s="495">
        <f>SUM(H6:H7)</f>
        <v>1842801.75</v>
      </c>
      <c r="I5" s="125">
        <f>SUM(I6:I7)</f>
        <v>2022415</v>
      </c>
      <c r="J5" s="369">
        <f t="shared" ref="J5:J15" si="0">IF(I5=0,0,ROUND((H5/I5)*100,2))</f>
        <v>91.12</v>
      </c>
    </row>
    <row r="6" spans="2:12">
      <c r="B6" s="610"/>
      <c r="C6" s="82"/>
      <c r="D6" s="51" t="s">
        <v>162</v>
      </c>
      <c r="E6" s="51">
        <v>232649</v>
      </c>
      <c r="F6" s="51">
        <f>467154+171790</f>
        <v>638944</v>
      </c>
      <c r="G6" s="51">
        <v>96973.2</v>
      </c>
      <c r="H6" s="51">
        <v>633655.25</v>
      </c>
      <c r="I6" s="41">
        <v>730254</v>
      </c>
      <c r="J6" s="370">
        <f t="shared" si="0"/>
        <v>86.77</v>
      </c>
    </row>
    <row r="7" spans="2:12" ht="13.8" thickBot="1">
      <c r="B7" s="653"/>
      <c r="C7" s="83"/>
      <c r="D7" s="53" t="s">
        <v>163</v>
      </c>
      <c r="E7" s="53">
        <v>563477</v>
      </c>
      <c r="F7" s="53">
        <v>250321</v>
      </c>
      <c r="G7" s="53">
        <f>874370+70504.9</f>
        <v>944874.9</v>
      </c>
      <c r="H7" s="582">
        <v>1209146.5</v>
      </c>
      <c r="I7" s="178">
        <v>1292161</v>
      </c>
      <c r="J7" s="371">
        <f t="shared" si="0"/>
        <v>93.58</v>
      </c>
    </row>
    <row r="8" spans="2:12" ht="13.8" thickBot="1">
      <c r="B8" s="89">
        <v>450</v>
      </c>
      <c r="C8" s="739" t="s">
        <v>105</v>
      </c>
      <c r="D8" s="740"/>
      <c r="E8" s="2">
        <f>SUM(E9:E14)</f>
        <v>509280</v>
      </c>
      <c r="F8" s="2">
        <f>SUM(F9:F14)</f>
        <v>620269</v>
      </c>
      <c r="G8" s="2">
        <f>SUM(G9:G14)</f>
        <v>259121.03000000003</v>
      </c>
      <c r="H8" s="503">
        <f>SUM(H9:H14)</f>
        <v>923759.61</v>
      </c>
      <c r="I8" s="2">
        <f>SUM(I9:I14)</f>
        <v>1236659</v>
      </c>
      <c r="J8" s="190">
        <f t="shared" si="0"/>
        <v>74.7</v>
      </c>
      <c r="K8" s="34"/>
    </row>
    <row r="9" spans="2:12" s="281" customFormat="1">
      <c r="B9" s="610"/>
      <c r="C9" s="82"/>
      <c r="D9" s="289" t="s">
        <v>170</v>
      </c>
      <c r="E9" s="289"/>
      <c r="F9" s="289">
        <v>9775</v>
      </c>
      <c r="G9" s="289">
        <v>16185.64</v>
      </c>
      <c r="H9" s="289"/>
      <c r="I9" s="290"/>
      <c r="J9" s="370">
        <f t="shared" si="0"/>
        <v>0</v>
      </c>
    </row>
    <row r="10" spans="2:12">
      <c r="B10" s="611"/>
      <c r="C10" s="112"/>
      <c r="D10" s="113" t="s">
        <v>303</v>
      </c>
      <c r="E10" s="113">
        <v>192501</v>
      </c>
      <c r="F10" s="113">
        <v>494</v>
      </c>
      <c r="G10" s="113">
        <v>208144.39</v>
      </c>
      <c r="H10" s="113">
        <f>876858.72+30930.89</f>
        <v>907789.61</v>
      </c>
      <c r="I10" s="185">
        <v>1218759</v>
      </c>
      <c r="J10" s="372">
        <f t="shared" si="0"/>
        <v>74.48</v>
      </c>
      <c r="K10" s="34"/>
    </row>
    <row r="11" spans="2:12" ht="12.75" customHeight="1">
      <c r="B11" s="611"/>
      <c r="C11" s="112"/>
      <c r="D11" s="113" t="s">
        <v>164</v>
      </c>
      <c r="E11" s="113">
        <v>316779</v>
      </c>
      <c r="F11" s="113">
        <v>610000</v>
      </c>
      <c r="G11" s="113">
        <v>34791</v>
      </c>
      <c r="H11" s="583">
        <v>3100</v>
      </c>
      <c r="I11" s="49">
        <v>17900</v>
      </c>
      <c r="J11" s="372">
        <f t="shared" si="0"/>
        <v>17.32</v>
      </c>
      <c r="K11" s="34"/>
      <c r="L11" s="34"/>
    </row>
    <row r="12" spans="2:12" ht="12.75" customHeight="1">
      <c r="B12" s="611"/>
      <c r="C12" s="112"/>
      <c r="D12" s="113" t="s">
        <v>400</v>
      </c>
      <c r="E12" s="113"/>
      <c r="F12" s="113"/>
      <c r="G12" s="113"/>
      <c r="H12" s="583">
        <v>12870</v>
      </c>
      <c r="I12" s="49"/>
      <c r="J12" s="372">
        <f t="shared" si="0"/>
        <v>0</v>
      </c>
    </row>
    <row r="13" spans="2:12" ht="12.75" customHeight="1">
      <c r="B13" s="611"/>
      <c r="C13" s="84"/>
      <c r="D13" s="85" t="s">
        <v>195</v>
      </c>
      <c r="E13" s="85"/>
      <c r="F13" s="85"/>
      <c r="G13" s="85"/>
      <c r="H13" s="85"/>
      <c r="I13" s="43"/>
      <c r="J13" s="373">
        <f t="shared" si="0"/>
        <v>0</v>
      </c>
    </row>
    <row r="14" spans="2:12" ht="13.5" customHeight="1" thickBot="1">
      <c r="B14" s="612"/>
      <c r="C14" s="84"/>
      <c r="D14" s="85" t="s">
        <v>169</v>
      </c>
      <c r="E14" s="85"/>
      <c r="F14" s="85"/>
      <c r="G14" s="85"/>
      <c r="H14" s="85"/>
      <c r="I14" s="43"/>
      <c r="J14" s="373">
        <f t="shared" si="0"/>
        <v>0</v>
      </c>
    </row>
    <row r="15" spans="2:12" ht="14.4" thickTop="1" thickBot="1">
      <c r="B15" s="736" t="s">
        <v>165</v>
      </c>
      <c r="C15" s="737"/>
      <c r="D15" s="738"/>
      <c r="E15" s="122">
        <f>E8+E5</f>
        <v>1305406</v>
      </c>
      <c r="F15" s="122">
        <f>F8+F5</f>
        <v>1509534</v>
      </c>
      <c r="G15" s="531">
        <f>G8+G5</f>
        <v>1300969.1299999999</v>
      </c>
      <c r="H15" s="531">
        <f>H8+H5</f>
        <v>2766561.36</v>
      </c>
      <c r="I15" s="122">
        <f>I8+I5</f>
        <v>3259074</v>
      </c>
      <c r="J15" s="374">
        <f t="shared" si="0"/>
        <v>84.89</v>
      </c>
      <c r="K15" s="34"/>
      <c r="L15" s="34"/>
    </row>
    <row r="16" spans="2:12" ht="13.8" thickTop="1">
      <c r="B16" s="735"/>
      <c r="C16" s="735"/>
      <c r="D16" s="735"/>
      <c r="E16" s="216"/>
      <c r="F16" s="216"/>
      <c r="G16" s="216"/>
      <c r="H16" s="216"/>
      <c r="I16" s="216"/>
    </row>
    <row r="17" spans="2:15" ht="13.8" thickBot="1">
      <c r="B17" s="721" t="s">
        <v>168</v>
      </c>
      <c r="C17" s="721"/>
      <c r="D17" s="721"/>
      <c r="E17" s="223"/>
      <c r="F17" s="223"/>
      <c r="G17" s="223"/>
      <c r="H17" s="223"/>
      <c r="I17" s="223"/>
    </row>
    <row r="18" spans="2:15" ht="13.5" customHeight="1" thickTop="1">
      <c r="B18" s="746" t="s">
        <v>58</v>
      </c>
      <c r="C18" s="722" t="s">
        <v>59</v>
      </c>
      <c r="D18" s="671" t="s">
        <v>60</v>
      </c>
      <c r="E18" s="643" t="s">
        <v>333</v>
      </c>
      <c r="F18" s="643" t="s">
        <v>332</v>
      </c>
      <c r="G18" s="643" t="s">
        <v>345</v>
      </c>
      <c r="H18" s="643" t="s">
        <v>359</v>
      </c>
      <c r="I18" s="643" t="s">
        <v>360</v>
      </c>
      <c r="J18" s="645" t="s">
        <v>344</v>
      </c>
    </row>
    <row r="19" spans="2:15" ht="24.75" customHeight="1" thickBot="1">
      <c r="B19" s="747"/>
      <c r="C19" s="723"/>
      <c r="D19" s="672"/>
      <c r="E19" s="644"/>
      <c r="F19" s="644"/>
      <c r="G19" s="644"/>
      <c r="H19" s="644"/>
      <c r="I19" s="644"/>
      <c r="J19" s="646"/>
    </row>
    <row r="20" spans="2:15" ht="14.4" thickTop="1" thickBot="1">
      <c r="B20" s="93" t="s">
        <v>6</v>
      </c>
      <c r="C20" s="741" t="s">
        <v>161</v>
      </c>
      <c r="D20" s="742"/>
      <c r="E20" s="115">
        <f>SUM(E21:E26)</f>
        <v>1191263</v>
      </c>
      <c r="F20" s="115">
        <f>SUM(F21:F26)</f>
        <v>977990</v>
      </c>
      <c r="G20" s="115">
        <f>SUM(G21:G26)</f>
        <v>439019.94999999995</v>
      </c>
      <c r="H20" s="594">
        <f>SUM(H21:H26)</f>
        <v>540080.30000000005</v>
      </c>
      <c r="I20" s="115">
        <f>SUM(I21:I26)</f>
        <v>1138734</v>
      </c>
      <c r="J20" s="375">
        <f t="shared" ref="J20:J27" si="1">IF(I20=0,0,ROUND((H20/I20)*100,2))</f>
        <v>47.43</v>
      </c>
    </row>
    <row r="21" spans="2:15">
      <c r="B21" s="743"/>
      <c r="C21" s="90"/>
      <c r="D21" s="90" t="s">
        <v>179</v>
      </c>
      <c r="E21" s="90">
        <v>122620</v>
      </c>
      <c r="F21" s="335">
        <v>207083</v>
      </c>
      <c r="G21" s="542">
        <v>173080.99</v>
      </c>
      <c r="H21" s="542">
        <v>233161.19</v>
      </c>
      <c r="I21" s="186">
        <v>239709</v>
      </c>
      <c r="J21" s="376">
        <f t="shared" si="1"/>
        <v>97.27</v>
      </c>
      <c r="L21" s="34"/>
      <c r="O21" s="532"/>
    </row>
    <row r="22" spans="2:15">
      <c r="B22" s="744"/>
      <c r="C22" s="126"/>
      <c r="D22" s="176" t="s">
        <v>240</v>
      </c>
      <c r="E22" s="176">
        <v>733308</v>
      </c>
      <c r="F22" s="336">
        <v>631012</v>
      </c>
      <c r="G22" s="336">
        <v>171789.61</v>
      </c>
      <c r="H22" s="595">
        <v>233027.7</v>
      </c>
      <c r="I22" s="187">
        <v>827227</v>
      </c>
      <c r="J22" s="377">
        <f t="shared" si="1"/>
        <v>28.17</v>
      </c>
    </row>
    <row r="23" spans="2:15">
      <c r="B23" s="744"/>
      <c r="C23" s="91"/>
      <c r="D23" s="177" t="s">
        <v>230</v>
      </c>
      <c r="E23" s="177">
        <v>53736</v>
      </c>
      <c r="F23" s="135">
        <v>54692</v>
      </c>
      <c r="G23" s="135">
        <v>59829.25</v>
      </c>
      <c r="H23" s="596">
        <v>73891.41</v>
      </c>
      <c r="I23" s="187">
        <v>68398</v>
      </c>
      <c r="J23" s="378">
        <f t="shared" si="1"/>
        <v>108.03</v>
      </c>
    </row>
    <row r="24" spans="2:15" s="119" customFormat="1" ht="13.5" customHeight="1">
      <c r="B24" s="744"/>
      <c r="C24" s="118"/>
      <c r="D24" s="120" t="s">
        <v>204</v>
      </c>
      <c r="E24" s="120"/>
      <c r="F24" s="337"/>
      <c r="G24" s="337"/>
      <c r="H24" s="337"/>
      <c r="I24" s="135">
        <v>3400</v>
      </c>
      <c r="J24" s="377">
        <f t="shared" si="1"/>
        <v>0</v>
      </c>
      <c r="L24" s="428"/>
    </row>
    <row r="25" spans="2:15" ht="13.5" customHeight="1">
      <c r="B25" s="744"/>
      <c r="C25" s="91"/>
      <c r="D25" s="91" t="s">
        <v>281</v>
      </c>
      <c r="E25" s="91">
        <v>281599</v>
      </c>
      <c r="F25" s="116">
        <f>85355-64-90+2</f>
        <v>85203</v>
      </c>
      <c r="G25" s="116">
        <f>11153.39+8227.5+11550+3389.21</f>
        <v>34320.1</v>
      </c>
      <c r="H25" s="116"/>
      <c r="I25" s="116"/>
      <c r="J25" s="379">
        <f t="shared" si="1"/>
        <v>0</v>
      </c>
      <c r="N25" s="34"/>
      <c r="O25" s="34"/>
    </row>
    <row r="26" spans="2:15" ht="13.5" customHeight="1" thickBot="1">
      <c r="B26" s="745"/>
      <c r="C26" s="92"/>
      <c r="D26" s="92"/>
      <c r="E26" s="92"/>
      <c r="F26" s="117"/>
      <c r="G26" s="117"/>
      <c r="H26" s="117"/>
      <c r="I26" s="117"/>
      <c r="J26" s="380">
        <f t="shared" si="1"/>
        <v>0</v>
      </c>
    </row>
    <row r="27" spans="2:15" ht="14.4" thickTop="1" thickBot="1">
      <c r="B27" s="736" t="s">
        <v>165</v>
      </c>
      <c r="C27" s="737"/>
      <c r="D27" s="738"/>
      <c r="E27" s="122">
        <f>E20</f>
        <v>1191263</v>
      </c>
      <c r="F27" s="122">
        <f>F20</f>
        <v>977990</v>
      </c>
      <c r="G27" s="531">
        <f>G20</f>
        <v>439019.94999999995</v>
      </c>
      <c r="H27" s="531">
        <f>H20</f>
        <v>540080.30000000005</v>
      </c>
      <c r="I27" s="122">
        <f>I20</f>
        <v>1138734</v>
      </c>
      <c r="J27" s="374">
        <f t="shared" si="1"/>
        <v>47.43</v>
      </c>
    </row>
    <row r="28" spans="2:15" ht="13.8" thickTop="1"/>
    <row r="30" spans="2:15">
      <c r="I30" s="34"/>
    </row>
  </sheetData>
  <mergeCells count="30">
    <mergeCell ref="E18:E19"/>
    <mergeCell ref="F18:F19"/>
    <mergeCell ref="B27:D27"/>
    <mergeCell ref="B21:B26"/>
    <mergeCell ref="D18:D19"/>
    <mergeCell ref="C20:D20"/>
    <mergeCell ref="B18:B19"/>
    <mergeCell ref="C18:C19"/>
    <mergeCell ref="F3:F4"/>
    <mergeCell ref="B9:B14"/>
    <mergeCell ref="B16:D16"/>
    <mergeCell ref="B17:D17"/>
    <mergeCell ref="B15:D15"/>
    <mergeCell ref="B6:B7"/>
    <mergeCell ref="C8:D8"/>
    <mergeCell ref="C5:D5"/>
    <mergeCell ref="E3:E4"/>
    <mergeCell ref="B1:D1"/>
    <mergeCell ref="B2:D2"/>
    <mergeCell ref="B3:B4"/>
    <mergeCell ref="C3:C4"/>
    <mergeCell ref="D3:D4"/>
    <mergeCell ref="G18:G19"/>
    <mergeCell ref="J18:J19"/>
    <mergeCell ref="J3:J4"/>
    <mergeCell ref="I18:I19"/>
    <mergeCell ref="I3:I4"/>
    <mergeCell ref="G3:G4"/>
    <mergeCell ref="H3:H4"/>
    <mergeCell ref="H18:H19"/>
  </mergeCells>
  <phoneticPr fontId="6" type="noConversion"/>
  <pageMargins left="0.16" right="0.15" top="1" bottom="1" header="0.4921259845" footer="0.4921259845"/>
  <pageSetup paperSize="9" scale="80" orientation="portrait" horizontalDpi="4294967293" r:id="rId1"/>
  <headerFooter alignWithMargins="0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Hárok6" enableFormatConditionsCalculation="0">
    <tabColor indexed="10"/>
  </sheetPr>
  <dimension ref="A1:L69"/>
  <sheetViews>
    <sheetView showGridLines="0" workbookViewId="0">
      <selection sqref="A1:G1"/>
    </sheetView>
  </sheetViews>
  <sheetFormatPr defaultRowHeight="13.2"/>
  <cols>
    <col min="1" max="1" width="41.6640625" customWidth="1"/>
    <col min="2" max="2" width="12.5546875" customWidth="1"/>
    <col min="3" max="3" width="13.33203125" customWidth="1"/>
    <col min="4" max="4" width="13.6640625" customWidth="1"/>
    <col min="5" max="5" width="14.33203125" customWidth="1"/>
    <col min="6" max="6" width="12.44140625" customWidth="1"/>
    <col min="7" max="7" width="8" customWidth="1"/>
    <col min="9" max="9" width="14.88671875" customWidth="1"/>
    <col min="10" max="10" width="15.33203125" customWidth="1"/>
    <col min="12" max="12" width="10.109375" bestFit="1" customWidth="1"/>
  </cols>
  <sheetData>
    <row r="1" spans="1:10" ht="15.6">
      <c r="A1" s="748" t="s">
        <v>197</v>
      </c>
      <c r="B1" s="748"/>
      <c r="C1" s="748"/>
      <c r="D1" s="748"/>
      <c r="E1" s="748"/>
      <c r="F1" s="748"/>
      <c r="G1" s="748"/>
    </row>
    <row r="2" spans="1:10" ht="13.8" thickBot="1">
      <c r="A2" s="749"/>
      <c r="B2" s="749"/>
      <c r="C2" s="749"/>
      <c r="D2" s="749"/>
      <c r="E2" s="749"/>
      <c r="F2" s="749"/>
      <c r="G2" s="749"/>
    </row>
    <row r="3" spans="1:10" ht="13.5" customHeight="1" thickTop="1">
      <c r="A3" s="751" t="s">
        <v>124</v>
      </c>
      <c r="B3" s="643" t="s">
        <v>333</v>
      </c>
      <c r="C3" s="643" t="s">
        <v>332</v>
      </c>
      <c r="D3" s="643" t="s">
        <v>345</v>
      </c>
      <c r="E3" s="643" t="s">
        <v>359</v>
      </c>
      <c r="F3" s="643" t="s">
        <v>360</v>
      </c>
      <c r="G3" s="645" t="s">
        <v>344</v>
      </c>
    </row>
    <row r="4" spans="1:10" ht="26.25" customHeight="1" thickBot="1">
      <c r="A4" s="752"/>
      <c r="B4" s="750"/>
      <c r="C4" s="750"/>
      <c r="D4" s="750"/>
      <c r="E4" s="750"/>
      <c r="F4" s="644"/>
      <c r="G4" s="646"/>
    </row>
    <row r="5" spans="1:10" ht="13.8" thickTop="1">
      <c r="A5" s="136" t="s">
        <v>185</v>
      </c>
      <c r="B5" s="225">
        <f>'BEŽNÉ PRÍJMY'!E107</f>
        <v>9201831</v>
      </c>
      <c r="C5" s="225">
        <f>'BEŽNÉ PRÍJMY'!F107</f>
        <v>9722622</v>
      </c>
      <c r="D5" s="521">
        <f>'BEŽNÉ PRÍJMY'!G107</f>
        <v>9640328.2400000002</v>
      </c>
      <c r="E5" s="521">
        <f>'BEŽNÉ PRÍJMY'!H107</f>
        <v>10178626.01</v>
      </c>
      <c r="F5" s="225">
        <f>'BEŽNÉ PRÍJMY'!I107</f>
        <v>9923505</v>
      </c>
      <c r="G5" s="368">
        <f>IF(F5=0,0,ROUND((E5/F5)*100,2))</f>
        <v>102.57</v>
      </c>
      <c r="J5" s="532"/>
    </row>
    <row r="6" spans="1:10" ht="14.25" customHeight="1" thickBot="1">
      <c r="A6" s="137" t="s">
        <v>186</v>
      </c>
      <c r="B6" s="117">
        <f>'BEŽNÉ VÝDAVKY'!E189</f>
        <v>9090417</v>
      </c>
      <c r="C6" s="117">
        <f>'BEŽNÉ VÝDAVKY'!F189</f>
        <v>8934542</v>
      </c>
      <c r="D6" s="522">
        <f>'BEŽNÉ VÝDAVKY'!G189</f>
        <v>9572545.3800000008</v>
      </c>
      <c r="E6" s="522">
        <f>'BEŽNÉ VÝDAVKY'!H189</f>
        <v>9554914.7999999989</v>
      </c>
      <c r="F6" s="117">
        <f>'BEŽNÉ VÝDAVKY'!I189</f>
        <v>9524646</v>
      </c>
      <c r="G6" s="380">
        <f>IF(F6=0,0,ROUND((E6/F6)*100,2))</f>
        <v>100.32</v>
      </c>
      <c r="J6" s="532"/>
    </row>
    <row r="7" spans="1:10" ht="14.4" thickBot="1">
      <c r="A7" s="226" t="s">
        <v>187</v>
      </c>
      <c r="B7" s="141">
        <f>B5-B6</f>
        <v>111414</v>
      </c>
      <c r="C7" s="141">
        <f>C5-C6</f>
        <v>788080</v>
      </c>
      <c r="D7" s="523">
        <f>D5-D6</f>
        <v>67782.859999999404</v>
      </c>
      <c r="E7" s="523">
        <f>E5-E6</f>
        <v>623711.21000000089</v>
      </c>
      <c r="F7" s="141">
        <f>F5-F6</f>
        <v>398859</v>
      </c>
      <c r="G7" s="279"/>
    </row>
    <row r="8" spans="1:10" ht="14.4" thickTop="1" thickBot="1">
      <c r="A8" s="762"/>
      <c r="B8" s="763"/>
      <c r="C8" s="763"/>
      <c r="D8" s="763"/>
      <c r="E8" s="763"/>
      <c r="F8" s="763"/>
      <c r="G8" s="764"/>
    </row>
    <row r="9" spans="1:10" ht="13.8" thickTop="1">
      <c r="A9" s="136" t="s">
        <v>188</v>
      </c>
      <c r="B9" s="225">
        <f>'KAPITÁLOVÉ PRÍJMY'!E53</f>
        <v>4502774.0599999996</v>
      </c>
      <c r="C9" s="225">
        <f>'KAPITÁLOVÉ PRÍJMY'!F53</f>
        <v>3678497</v>
      </c>
      <c r="D9" s="521">
        <f>'KAPITÁLOVÉ PRÍJMY'!G53</f>
        <v>1218338.5900000001</v>
      </c>
      <c r="E9" s="521">
        <f>'KAPITÁLOVÉ PRÍJMY'!H53</f>
        <v>752297.52</v>
      </c>
      <c r="F9" s="225">
        <f>'KAPITÁLOVÉ PRÍJMY'!I53</f>
        <v>1314520</v>
      </c>
      <c r="G9" s="368">
        <f>IF(F9=0,0,ROUND((E9/F9)*100,2))</f>
        <v>57.23</v>
      </c>
    </row>
    <row r="10" spans="1:10" ht="15" customHeight="1" thickBot="1">
      <c r="A10" s="137" t="s">
        <v>189</v>
      </c>
      <c r="B10" s="117">
        <f>'KAPITÁL0VÉ VÝDAVKY'!E105</f>
        <v>4719096</v>
      </c>
      <c r="C10" s="117">
        <f>'KAPITÁL0VÉ VÝDAVKY'!F105</f>
        <v>3939694</v>
      </c>
      <c r="D10" s="522">
        <f>'KAPITÁL0VÉ VÝDAVKY'!G105</f>
        <v>1800938.79</v>
      </c>
      <c r="E10" s="522">
        <f>'KAPITÁL0VÉ VÝDAVKY'!H105</f>
        <v>2904600.1800000006</v>
      </c>
      <c r="F10" s="117">
        <f>'KAPITÁL0VÉ VÝDAVKY'!I105</f>
        <v>3833719</v>
      </c>
      <c r="G10" s="380">
        <f>IF(F10=0,0,ROUND((E10/F10)*100,2))</f>
        <v>75.760000000000005</v>
      </c>
    </row>
    <row r="11" spans="1:10" ht="14.4" thickBot="1">
      <c r="A11" s="227" t="s">
        <v>190</v>
      </c>
      <c r="B11" s="228">
        <f>B9-B10</f>
        <v>-216321.94000000041</v>
      </c>
      <c r="C11" s="228">
        <f>C9-C10</f>
        <v>-261197</v>
      </c>
      <c r="D11" s="543">
        <f>D9-D10</f>
        <v>-582600.19999999995</v>
      </c>
      <c r="E11" s="543">
        <f>E9-E10</f>
        <v>-2152302.6600000006</v>
      </c>
      <c r="F11" s="228">
        <f>F9-F10</f>
        <v>-2519199</v>
      </c>
      <c r="G11" s="280"/>
    </row>
    <row r="12" spans="1:10" ht="14.4" thickTop="1" thickBot="1">
      <c r="A12" s="762"/>
      <c r="B12" s="763"/>
      <c r="C12" s="763"/>
      <c r="D12" s="763"/>
      <c r="E12" s="763"/>
      <c r="F12" s="763"/>
      <c r="G12" s="764"/>
    </row>
    <row r="13" spans="1:10" ht="13.8" thickTop="1">
      <c r="A13" s="136" t="s">
        <v>191</v>
      </c>
      <c r="B13" s="225">
        <f>'FINANČNÉ OPERÁCIE'!E15</f>
        <v>1305406</v>
      </c>
      <c r="C13" s="225">
        <f>'FINANČNÉ OPERÁCIE'!F15</f>
        <v>1509534</v>
      </c>
      <c r="D13" s="521">
        <f>'FINANČNÉ OPERÁCIE'!G15</f>
        <v>1300969.1299999999</v>
      </c>
      <c r="E13" s="521">
        <f>'FINANČNÉ OPERÁCIE'!H15</f>
        <v>2766561.36</v>
      </c>
      <c r="F13" s="225">
        <f>'FINANČNÉ OPERÁCIE'!I15</f>
        <v>3259074</v>
      </c>
      <c r="G13" s="368">
        <f>IF(F13=0,0,ROUND((E13/F13)*100,2))</f>
        <v>84.89</v>
      </c>
    </row>
    <row r="14" spans="1:10" ht="15" customHeight="1" thickBot="1">
      <c r="A14" s="137" t="s">
        <v>192</v>
      </c>
      <c r="B14" s="117">
        <f>'FINANČNÉ OPERÁCIE'!E27</f>
        <v>1191263</v>
      </c>
      <c r="C14" s="117">
        <f>'FINANČNÉ OPERÁCIE'!F27</f>
        <v>977990</v>
      </c>
      <c r="D14" s="522">
        <f>'FINANČNÉ OPERÁCIE'!G27</f>
        <v>439019.94999999995</v>
      </c>
      <c r="E14" s="522">
        <f>'FINANČNÉ OPERÁCIE'!H27</f>
        <v>540080.30000000005</v>
      </c>
      <c r="F14" s="117">
        <f>'FINANČNÉ OPERÁCIE'!I27</f>
        <v>1138734</v>
      </c>
      <c r="G14" s="380">
        <f>IF(F14=0,0,ROUND((E14/F14)*100,2))</f>
        <v>47.43</v>
      </c>
    </row>
    <row r="15" spans="1:10" ht="14.4" thickBot="1">
      <c r="A15" s="227" t="s">
        <v>193</v>
      </c>
      <c r="B15" s="228">
        <f>B13-B14</f>
        <v>114143</v>
      </c>
      <c r="C15" s="228">
        <f>C13-C14</f>
        <v>531544</v>
      </c>
      <c r="D15" s="543">
        <f>D13-D14</f>
        <v>861949.17999999993</v>
      </c>
      <c r="E15" s="543">
        <f>E13-E14</f>
        <v>2226481.0599999996</v>
      </c>
      <c r="F15" s="228">
        <f>F13-F14</f>
        <v>2120340</v>
      </c>
      <c r="G15" s="280"/>
    </row>
    <row r="16" spans="1:10" ht="16.5" customHeight="1" thickTop="1" thickBot="1">
      <c r="A16" s="760"/>
      <c r="B16" s="749"/>
      <c r="C16" s="749"/>
      <c r="D16" s="749"/>
      <c r="E16" s="749"/>
      <c r="F16" s="749"/>
      <c r="G16" s="761"/>
    </row>
    <row r="17" spans="1:12" ht="13.5" customHeight="1" thickTop="1">
      <c r="A17" s="754" t="s">
        <v>244</v>
      </c>
      <c r="B17" s="755"/>
      <c r="C17" s="755"/>
      <c r="D17" s="755"/>
      <c r="E17" s="755"/>
      <c r="F17" s="755"/>
      <c r="G17" s="756"/>
    </row>
    <row r="18" spans="1:12" ht="13.8" thickBot="1">
      <c r="A18" s="757"/>
      <c r="B18" s="758"/>
      <c r="C18" s="758"/>
      <c r="D18" s="758"/>
      <c r="E18" s="758"/>
      <c r="F18" s="758"/>
      <c r="G18" s="759"/>
      <c r="L18" s="532"/>
    </row>
    <row r="19" spans="1:12" ht="16.8" thickTop="1" thickBot="1">
      <c r="A19" s="138" t="s">
        <v>194</v>
      </c>
      <c r="B19" s="139">
        <f>B7+B11+B15</f>
        <v>9235.0599999995902</v>
      </c>
      <c r="C19" s="139">
        <f>C7+C11+C15</f>
        <v>1058427</v>
      </c>
      <c r="D19" s="544">
        <f>D7+D11+D15</f>
        <v>347131.83999999939</v>
      </c>
      <c r="E19" s="544">
        <f>E7+E11+E15</f>
        <v>697889.60999999987</v>
      </c>
      <c r="F19" s="139">
        <f>F7+F11+F15</f>
        <v>0</v>
      </c>
      <c r="G19" s="140"/>
    </row>
    <row r="20" spans="1:12" ht="13.8" thickTop="1">
      <c r="A20" s="195"/>
      <c r="B20" s="195"/>
      <c r="C20" s="195"/>
      <c r="D20" s="195"/>
      <c r="E20" s="195"/>
      <c r="F20" s="197"/>
    </row>
    <row r="21" spans="1:12">
      <c r="A21" s="195"/>
      <c r="B21" s="195"/>
      <c r="C21" s="195"/>
      <c r="D21" s="195"/>
      <c r="E21" s="195"/>
      <c r="F21" s="197"/>
    </row>
    <row r="22" spans="1:12">
      <c r="A22" s="195"/>
      <c r="B22" s="433"/>
      <c r="C22" s="429"/>
      <c r="D22" s="429"/>
      <c r="E22" s="549"/>
      <c r="F22" s="197"/>
      <c r="G22" s="532"/>
    </row>
    <row r="23" spans="1:12">
      <c r="A23" s="195"/>
      <c r="B23" s="549"/>
      <c r="C23" s="549"/>
      <c r="D23" s="549"/>
      <c r="E23" s="549"/>
      <c r="F23" s="195"/>
      <c r="G23" s="195"/>
      <c r="I23" s="532"/>
    </row>
    <row r="24" spans="1:12">
      <c r="B24" s="549"/>
      <c r="C24" s="549"/>
      <c r="D24" s="549"/>
      <c r="E24" s="430"/>
      <c r="F24" s="262"/>
    </row>
    <row r="25" spans="1:12">
      <c r="A25" s="430" t="s">
        <v>401</v>
      </c>
      <c r="B25" s="433"/>
      <c r="C25" s="599"/>
      <c r="D25" s="430"/>
      <c r="E25" s="599"/>
      <c r="F25" s="262"/>
      <c r="G25" s="532"/>
      <c r="I25" s="532"/>
    </row>
    <row r="26" spans="1:12">
      <c r="A26" s="571" t="s">
        <v>361</v>
      </c>
      <c r="B26" s="429"/>
      <c r="C26" s="429"/>
      <c r="D26" s="429"/>
      <c r="E26" s="599"/>
      <c r="F26" s="262"/>
    </row>
    <row r="27" spans="1:12">
      <c r="A27" s="195"/>
      <c r="B27" s="598"/>
      <c r="C27" s="598"/>
      <c r="D27" s="598"/>
      <c r="E27" s="549"/>
      <c r="F27" s="262"/>
    </row>
    <row r="28" spans="1:12" s="347" customFormat="1" ht="15.6">
      <c r="A28" s="345"/>
      <c r="B28" s="434"/>
      <c r="C28" s="346"/>
      <c r="D28" s="765"/>
      <c r="E28" s="765"/>
      <c r="F28" s="554"/>
      <c r="G28" s="532"/>
    </row>
    <row r="29" spans="1:12" ht="15">
      <c r="D29" s="600"/>
      <c r="E29" s="600"/>
      <c r="F29" s="766"/>
      <c r="G29" s="766"/>
    </row>
    <row r="30" spans="1:12" ht="15">
      <c r="D30" s="601"/>
      <c r="E30" s="601"/>
    </row>
    <row r="31" spans="1:12" ht="15">
      <c r="D31" s="601"/>
      <c r="E31" s="601"/>
    </row>
    <row r="32" spans="1:12" ht="15">
      <c r="D32" s="753" t="s">
        <v>358</v>
      </c>
      <c r="E32" s="753"/>
    </row>
    <row r="33" spans="3:9" ht="15">
      <c r="C33" s="34"/>
      <c r="D33" s="753" t="s">
        <v>402</v>
      </c>
      <c r="E33" s="753"/>
    </row>
    <row r="35" spans="3:9">
      <c r="E35" s="532"/>
    </row>
    <row r="36" spans="3:9">
      <c r="E36" s="532"/>
      <c r="G36" s="532"/>
    </row>
    <row r="37" spans="3:9">
      <c r="E37" s="532"/>
      <c r="F37" s="532"/>
      <c r="G37" s="532"/>
    </row>
    <row r="38" spans="3:9">
      <c r="E38" s="532"/>
      <c r="F38" s="532"/>
    </row>
    <row r="47" spans="3:9">
      <c r="E47" s="602"/>
      <c r="I47" s="602"/>
    </row>
    <row r="48" spans="3:9">
      <c r="E48" s="602"/>
      <c r="F48" s="39"/>
      <c r="I48" s="602"/>
    </row>
    <row r="49" spans="2:9">
      <c r="B49" s="39"/>
      <c r="F49" s="39"/>
      <c r="I49" s="602"/>
    </row>
    <row r="50" spans="2:9">
      <c r="B50" s="39"/>
      <c r="F50" s="39"/>
      <c r="I50" s="602"/>
    </row>
    <row r="51" spans="2:9">
      <c r="B51" s="39"/>
      <c r="F51" s="39"/>
      <c r="I51" s="602"/>
    </row>
    <row r="52" spans="2:9">
      <c r="B52" s="39"/>
      <c r="F52" s="39"/>
      <c r="I52" s="602"/>
    </row>
    <row r="53" spans="2:9">
      <c r="E53" s="532"/>
      <c r="F53" s="39"/>
      <c r="I53" s="602"/>
    </row>
    <row r="54" spans="2:9">
      <c r="E54" s="532"/>
      <c r="F54" s="39"/>
      <c r="I54" s="602"/>
    </row>
    <row r="55" spans="2:9">
      <c r="E55" s="532"/>
      <c r="F55" s="39"/>
      <c r="I55" s="602"/>
    </row>
    <row r="56" spans="2:9">
      <c r="C56" s="39"/>
      <c r="I56" s="602"/>
    </row>
    <row r="57" spans="2:9">
      <c r="C57" s="39"/>
    </row>
    <row r="58" spans="2:9">
      <c r="C58" s="39"/>
    </row>
    <row r="59" spans="2:9">
      <c r="C59" s="39"/>
    </row>
    <row r="60" spans="2:9">
      <c r="E60" s="602"/>
    </row>
    <row r="64" spans="2:9">
      <c r="E64" s="602"/>
    </row>
    <row r="66" spans="4:4">
      <c r="D66" s="532"/>
    </row>
    <row r="69" spans="4:4">
      <c r="D69" s="532"/>
    </row>
  </sheetData>
  <mergeCells count="17">
    <mergeCell ref="D33:E33"/>
    <mergeCell ref="A17:G18"/>
    <mergeCell ref="D3:D4"/>
    <mergeCell ref="A16:G16"/>
    <mergeCell ref="A12:G12"/>
    <mergeCell ref="G3:G4"/>
    <mergeCell ref="D28:E28"/>
    <mergeCell ref="D32:E32"/>
    <mergeCell ref="A8:G8"/>
    <mergeCell ref="F29:G29"/>
    <mergeCell ref="A1:G1"/>
    <mergeCell ref="A2:G2"/>
    <mergeCell ref="B3:B4"/>
    <mergeCell ref="C3:C4"/>
    <mergeCell ref="A3:A4"/>
    <mergeCell ref="F3:F4"/>
    <mergeCell ref="E3:E4"/>
  </mergeCells>
  <phoneticPr fontId="6" type="noConversion"/>
  <pageMargins left="0.25" right="0.25" top="0.75" bottom="0.75" header="0.3" footer="0.3"/>
  <pageSetup paperSize="9" scale="87" orientation="portrait" horizontalDpi="4294967293" r:id="rId1"/>
  <headerFooter alignWithMargins="0">
    <oddFooter>&amp;C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1</vt:i4>
      </vt:variant>
    </vt:vector>
  </HeadingPairs>
  <TitlesOfParts>
    <vt:vector size="7" baseType="lpstr">
      <vt:lpstr>BEŽNÉ PRÍJMY</vt:lpstr>
      <vt:lpstr>BEŽNÉ VÝDAVKY</vt:lpstr>
      <vt:lpstr>KAPITÁLOVÉ PRÍJMY</vt:lpstr>
      <vt:lpstr>KAPITÁL0VÉ VÝDAVKY</vt:lpstr>
      <vt:lpstr>FINANČNÉ OPERÁCIE</vt:lpstr>
      <vt:lpstr>HOSP.</vt:lpstr>
      <vt:lpstr>'KAPITÁL0VÉ VÝDAVKY'!Oblasť_tlače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informatik</cp:lastModifiedBy>
  <cp:lastPrinted>2016-05-06T07:00:15Z</cp:lastPrinted>
  <dcterms:created xsi:type="dcterms:W3CDTF">2006-09-20T05:43:56Z</dcterms:created>
  <dcterms:modified xsi:type="dcterms:W3CDTF">2016-05-06T12:02:17Z</dcterms:modified>
</cp:coreProperties>
</file>