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55" yWindow="255" windowWidth="16320" windowHeight="12825" activeTab="3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áverčný účet" sheetId="8" r:id="rId8"/>
  </sheets>
  <definedNames>
    <definedName name="_xlnm.Print_Area" localSheetId="1">'bežné výdavky'!$A$1:$R$205</definedName>
  </definedNames>
  <calcPr fullCalcOnLoad="1"/>
</workbook>
</file>

<file path=xl/sharedStrings.xml><?xml version="1.0" encoding="utf-8"?>
<sst xmlns="http://schemas.openxmlformats.org/spreadsheetml/2006/main" count="739" uniqueCount="520">
  <si>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</si>
  <si>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</si>
  <si>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</si>
  <si>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</si>
  <si>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</si>
  <si>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</si>
  <si>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</si>
  <si>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</si>
  <si>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</si>
  <si>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</si>
  <si>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</si>
  <si>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Projekty - školy</t>
  </si>
  <si>
    <t>MŠ Žel. riadok - škol. Infra.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</si>
  <si>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</si>
  <si>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</si>
  <si>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</si>
  <si>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</si>
  <si>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</si>
  <si>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</si>
  <si>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</si>
  <si>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</si>
  <si>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</si>
  <si>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</si>
  <si>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</si>
  <si>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</si>
  <si>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</si>
  <si>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</si>
  <si>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</si>
  <si>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</si>
  <si>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</si>
  <si>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</si>
  <si>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Verejná správa</t>
  </si>
  <si>
    <t>kamerový systém</t>
  </si>
  <si>
    <t>Projektová dokumentácia</t>
  </si>
  <si>
    <t>Doprava-výstavba a oprava ciest</t>
  </si>
  <si>
    <t>Zábradlie Križný potok</t>
  </si>
  <si>
    <t>Nákladanie s odpadmi</t>
  </si>
  <si>
    <t>Príspevok pre TS</t>
  </si>
  <si>
    <t xml:space="preserve">VO garáže, sídl. Západ </t>
  </si>
  <si>
    <t>Kaplnka Levočské Lúky, NN prípojka</t>
  </si>
  <si>
    <t>MPV - ostatné</t>
  </si>
  <si>
    <t>odvodnenie, sídl. Pri prameni</t>
  </si>
  <si>
    <t>Nám. Majstra Pavla 50,51 -PD (FRB)</t>
  </si>
  <si>
    <t>Byty</t>
  </si>
  <si>
    <t>preložka VN</t>
  </si>
  <si>
    <t>MPV pozemkov pre most Lev. Dolina</t>
  </si>
  <si>
    <t xml:space="preserve">MPV pozemkov pre autobus. zastávku </t>
  </si>
  <si>
    <t>MPV stavba Strelnica</t>
  </si>
  <si>
    <t>08.2.0.9</t>
  </si>
  <si>
    <t>Káblová televízia - štúdia</t>
  </si>
  <si>
    <t xml:space="preserve">Rolba </t>
  </si>
  <si>
    <t>kocka - strecha</t>
  </si>
  <si>
    <t>Vodná nádrž Levoča</t>
  </si>
  <si>
    <t>Ihrisko WORK OUT</t>
  </si>
  <si>
    <t>Príspevok pre MKS</t>
  </si>
  <si>
    <t xml:space="preserve">NMP č. 54 - divadlo, výmena okien II. etapa </t>
  </si>
  <si>
    <t>08.4.0.</t>
  </si>
  <si>
    <t>PD - DSS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</si>
  <si>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</si>
  <si>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</si>
  <si>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</si>
  <si>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</si>
  <si>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</si>
  <si>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</si>
  <si>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</si>
  <si>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</si>
  <si>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</si>
  <si>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</si>
  <si>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</si>
  <si>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</si>
  <si>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</si>
  <si>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Príjmy z prevodov peňaž. Fondov obcí FRB</t>
  </si>
  <si>
    <t>fond nevyčerpaných dotácií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</si>
  <si>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</si>
  <si>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</si>
  <si>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</si>
  <si>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</si>
  <si>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</si>
  <si>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</si>
  <si>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</si>
  <si>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</si>
  <si>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</si>
  <si>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</si>
  <si>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</si>
  <si>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</si>
  <si>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</si>
  <si>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</si>
  <si>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</si>
  <si>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</si>
  <si>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</si>
  <si>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</si>
  <si>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Na  obnovu kult. Pamiatok</t>
  </si>
  <si>
    <t>Spolufinancovanie projektov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</si>
  <si>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</si>
  <si>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</si>
  <si>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</si>
  <si>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</si>
  <si>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</si>
  <si>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</si>
  <si>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</si>
  <si>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</si>
  <si>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</si>
  <si>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</si>
  <si>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</si>
  <si>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</si>
  <si>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</si>
  <si>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</si>
  <si>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</si>
  <si>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</si>
  <si>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</si>
  <si>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</si>
  <si>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</si>
  <si>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</si>
  <si>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</si>
  <si>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</si>
  <si>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</si>
  <si>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</si>
  <si>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</si>
  <si>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</si>
  <si>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</si>
  <si>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</si>
  <si>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</si>
  <si>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</si>
  <si>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</si>
  <si>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</si>
  <si>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</si>
  <si>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</si>
  <si>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</si>
  <si>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</si>
  <si>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</si>
  <si>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</si>
  <si>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</si>
  <si>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</si>
  <si>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</si>
  <si>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</si>
  <si>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</si>
  <si>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</si>
  <si>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</si>
  <si>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</si>
  <si>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</si>
  <si>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</si>
  <si>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</si>
  <si>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</si>
  <si>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</si>
  <si>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</si>
  <si>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</si>
  <si>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</si>
  <si>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</si>
  <si>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</si>
  <si>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</si>
  <si>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</si>
  <si>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</si>
  <si>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</si>
  <si>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</si>
  <si>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</si>
  <si>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</si>
  <si>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</si>
  <si>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</si>
  <si>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</si>
  <si>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</si>
  <si>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</si>
  <si>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</si>
  <si>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</si>
  <si>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</si>
  <si>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</si>
  <si>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</si>
  <si>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</si>
  <si>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</si>
  <si>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</si>
  <si>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</si>
  <si>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</si>
  <si>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</si>
  <si>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</si>
  <si>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</si>
  <si>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</si>
  <si>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</si>
  <si>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</si>
  <si>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</si>
  <si>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</si>
  <si>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>MK Oprava parkanového múru</t>
  </si>
  <si>
    <t xml:space="preserve">Osobitný príjemca </t>
  </si>
  <si>
    <t>Osobitný príjemca - mesto</t>
  </si>
  <si>
    <t xml:space="preserve">Karpatské klim. mestečká </t>
  </si>
  <si>
    <t xml:space="preserve">vzdelávanie seniorov </t>
  </si>
  <si>
    <t>refundácia projektov - krátkodobý úver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</si>
  <si>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</si>
  <si>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</si>
  <si>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</si>
  <si>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</si>
  <si>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</si>
  <si>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</si>
  <si>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</si>
  <si>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</si>
  <si>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</si>
  <si>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</si>
  <si>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</si>
  <si>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</si>
  <si>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</si>
  <si>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</si>
  <si>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</si>
  <si>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</si>
  <si>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</si>
  <si>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</si>
  <si>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</si>
  <si>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</si>
  <si>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</si>
  <si>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refundácia projektov</t>
  </si>
  <si>
    <t>Tréningová hala</t>
  </si>
  <si>
    <t>dot. na  obnovu kult. pamiatok</t>
  </si>
  <si>
    <t>Radnica a Zvonica NMP 2</t>
  </si>
  <si>
    <t>obnova oddychovej zóny Schiessplatz</t>
  </si>
  <si>
    <t>úprava verejných priestranstiev</t>
  </si>
  <si>
    <t>Hradby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</si>
  <si>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</si>
  <si>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</si>
  <si>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</si>
  <si>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</si>
  <si>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</si>
  <si>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</si>
  <si>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</si>
  <si>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ZUŠ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</si>
  <si>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</si>
  <si>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</si>
  <si>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</si>
  <si>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</si>
  <si>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</si>
  <si>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</si>
  <si>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</si>
  <si>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</si>
  <si>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</si>
  <si>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</si>
  <si>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</si>
  <si>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</si>
  <si>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</si>
  <si>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</si>
  <si>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</si>
  <si>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</si>
  <si>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</si>
  <si>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</si>
  <si>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</si>
  <si>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</si>
  <si>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Parkovacie plochy - etapa 3.2</t>
  </si>
  <si>
    <t>Pódium</t>
  </si>
  <si>
    <t>Premostenie Lev. Potoka</t>
  </si>
  <si>
    <t>Parkovacie plochy</t>
  </si>
  <si>
    <t>Dom meštiansky - galéria</t>
  </si>
  <si>
    <t>prevencia kriminality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</si>
  <si>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</si>
  <si>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</si>
  <si>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</si>
  <si>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</si>
  <si>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</si>
  <si>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</si>
  <si>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Dlhodobé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</si>
  <si>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</si>
  <si>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</si>
  <si>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</si>
  <si>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</si>
  <si>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</si>
  <si>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</si>
  <si>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Prevod na fond nevyčerpaných dotácií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</si>
  <si>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</si>
  <si>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</si>
  <si>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</si>
  <si>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</si>
  <si>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</si>
  <si>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</si>
  <si>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</si>
  <si>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</si>
  <si>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</si>
  <si>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</si>
  <si>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</si>
  <si>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</si>
  <si>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</si>
  <si>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</si>
  <si>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</si>
  <si>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</si>
  <si>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</si>
  <si>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</si>
  <si>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</si>
  <si>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</si>
  <si>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</si>
  <si>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leasing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</si>
  <si>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</si>
  <si>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</si>
  <si>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</si>
  <si>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</si>
  <si>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</si>
  <si>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</si>
  <si>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</si>
  <si>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</si>
  <si>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</si>
  <si>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</si>
  <si>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</si>
  <si>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</si>
  <si>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Projekt - rozvoj turizmu v regióne</t>
  </si>
  <si>
    <t>UNESCO</t>
  </si>
  <si>
    <t>Slovenské kráľovské mestá</t>
  </si>
  <si>
    <t>Medzinárodný zraz turistov</t>
  </si>
  <si>
    <t>Značenie Levočské vrchy</t>
  </si>
  <si>
    <t>Lyžiarske trate</t>
  </si>
  <si>
    <t>04.9.0</t>
  </si>
  <si>
    <t>Chránená dielňa</t>
  </si>
  <si>
    <t>600</t>
  </si>
  <si>
    <t>Uzat.a rek.skládky KO D.Stráže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</si>
  <si>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</si>
  <si>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</si>
  <si>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</si>
  <si>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</si>
  <si>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</si>
  <si>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</si>
  <si>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</si>
  <si>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</si>
  <si>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Povodne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</si>
  <si>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</si>
  <si>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</si>
  <si>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</si>
  <si>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</si>
  <si>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</si>
  <si>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</si>
  <si>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</si>
  <si>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</si>
  <si>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</si>
  <si>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</si>
  <si>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</si>
  <si>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</si>
  <si>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Transfer pre TS (SÚZ)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</si>
  <si>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</si>
  <si>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</si>
  <si>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</si>
  <si>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</si>
  <si>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</si>
  <si>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</si>
  <si>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</si>
  <si>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</si>
  <si>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</si>
  <si>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</si>
  <si>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</si>
  <si>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</si>
  <si>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</si>
  <si>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</si>
  <si>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</si>
  <si>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</si>
  <si>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</si>
  <si>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Sanácia miest s nelegálnym odpadom</t>
  </si>
  <si>
    <t>Čerpanie rozpočtu 2015</t>
  </si>
  <si>
    <t>Osobitný príjemca -mesto</t>
  </si>
  <si>
    <t>Obnova verejného osvetlenia</t>
  </si>
  <si>
    <t>ZŠ Francisciho - vybavenie ŠJ</t>
  </si>
  <si>
    <t xml:space="preserve">Kláštorská </t>
  </si>
  <si>
    <t>Telocvičňa ZŠ G. Haina</t>
  </si>
  <si>
    <t>Elektrická rozvodná skriňa</t>
  </si>
  <si>
    <t>Ortofomapa</t>
  </si>
  <si>
    <t>MPV cyklochodník</t>
  </si>
  <si>
    <t>Pozemky Menhardská brána</t>
  </si>
  <si>
    <t>NMP č. 54 - divadlo, kotolňa</t>
  </si>
  <si>
    <t>MŠ Levočské lúky - vykurovanie</t>
  </si>
  <si>
    <t>ZŠ G. Haina - telocvičňa</t>
  </si>
  <si>
    <t>MŠ Haina - PD</t>
  </si>
  <si>
    <t>500. výročie</t>
  </si>
  <si>
    <t>MŠ G. Haina</t>
  </si>
  <si>
    <t>PD</t>
  </si>
  <si>
    <t>Fontána dorbočinnosti</t>
  </si>
  <si>
    <t>Fasáda NMP 50</t>
  </si>
  <si>
    <t>cesta Mariánska hora</t>
  </si>
  <si>
    <t>Chodník - mestský cintorín</t>
  </si>
  <si>
    <t>Modernizácia zbrného dvora</t>
  </si>
  <si>
    <t>Prestavba zberných miest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</si>
  <si>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</si>
  <si>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</si>
  <si>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</si>
  <si>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</si>
  <si>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</si>
  <si>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</si>
  <si>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Štúrova ulica</t>
  </si>
  <si>
    <t>Zrážková voda - TS</t>
  </si>
  <si>
    <t>Čerpanie rozpočtu 2016</t>
  </si>
  <si>
    <t>Rozpočet 2016</t>
  </si>
  <si>
    <t>Oprava VO</t>
  </si>
  <si>
    <t>ostatné transfery</t>
  </si>
  <si>
    <t>Software</t>
  </si>
  <si>
    <t>Časť 1.2.2. Výdavky kapitálového rozpočtu</t>
  </si>
  <si>
    <t>Ruskinovská ulica (cesta, VO)</t>
  </si>
  <si>
    <t>Za sedriou - cesta</t>
  </si>
  <si>
    <t>Cesta ul. Okružná</t>
  </si>
  <si>
    <t>Príspevok pre TS - auto</t>
  </si>
  <si>
    <t>MPV Plantáže</t>
  </si>
  <si>
    <t>Spevnené plochy sídl. Sever</t>
  </si>
  <si>
    <t>ZŠ G. Haina</t>
  </si>
  <si>
    <t>zábezpeky</t>
  </si>
  <si>
    <t>Univerzálny vyklápač</t>
  </si>
  <si>
    <t>Preložka NN garáže Západ</t>
  </si>
  <si>
    <t>Detské ihrisko</t>
  </si>
  <si>
    <t>Spevnené plochy Sídl. Sever</t>
  </si>
  <si>
    <t>Rekonštrukcia strechy divadla</t>
  </si>
  <si>
    <t>Rekonštrukcia okien a dverí divadla</t>
  </si>
  <si>
    <t>ZŠ G. Haina - kompetencie žiakov</t>
  </si>
  <si>
    <t>ZUŠ - učebne</t>
  </si>
  <si>
    <t>CVČ - Mantinely</t>
  </si>
  <si>
    <t>Košická ul. Č. 26</t>
  </si>
  <si>
    <t>Zníženie ZI Stavebná prevádzkáreň</t>
  </si>
  <si>
    <t>dodávateľský úver - chodníky</t>
  </si>
  <si>
    <t xml:space="preserve">dodávateľský úver - auto </t>
  </si>
  <si>
    <t>Prístupový chodník/schodisko Pod vinicou</t>
  </si>
  <si>
    <t>Železničný riadok - cesta - garáže</t>
  </si>
  <si>
    <t>Prístupová cesta - Garáže Západ</t>
  </si>
  <si>
    <t>Autobusové zastávky Lev. Lúky</t>
  </si>
  <si>
    <t>Komunitná a terénna sociálna práca</t>
  </si>
  <si>
    <t>server</t>
  </si>
  <si>
    <t>Košická ul. Č. 26 II. Etapa</t>
  </si>
  <si>
    <t>Parkovné</t>
  </si>
  <si>
    <t>Terénna soc. Práca, komunitná práca</t>
  </si>
  <si>
    <t>Potraviny - jedáleň</t>
  </si>
  <si>
    <t>Potraviny - školské jedálne</t>
  </si>
  <si>
    <t>Časť 1.1 Bežný rozpočet</t>
  </si>
  <si>
    <t>Časť 1.1.1. Príjmy bežného rozpočtu</t>
  </si>
  <si>
    <t>Časť 1.1.2. Výdavky bežného rozpočtu</t>
  </si>
  <si>
    <t>Časť 1.2. Kapitálový rozpočet</t>
  </si>
  <si>
    <t>Časť 1.2.1. Príjmy kapitálového rozpočtu</t>
  </si>
  <si>
    <t xml:space="preserve">Časť II. Finančné operácie </t>
  </si>
  <si>
    <t xml:space="preserve">Časť 2.1. Príjmové finančné operácie </t>
  </si>
  <si>
    <t>Bežné výdavky celkom</t>
  </si>
  <si>
    <t xml:space="preserve">Rozpočet 2018 </t>
  </si>
  <si>
    <t xml:space="preserve">Spojovacia chodba MŠ G. Haina </t>
  </si>
  <si>
    <t xml:space="preserve">Oplotenie MŠ G. Haina </t>
  </si>
  <si>
    <t>Detské ihrisko Žihadielko</t>
  </si>
  <si>
    <t xml:space="preserve">Futbalové šatne </t>
  </si>
  <si>
    <t>ZŠ Kluberta telocvičňa</t>
  </si>
  <si>
    <t>Havarijný stav - Závada</t>
  </si>
  <si>
    <t>odvodnenie cesty Ovocinárka ul.</t>
  </si>
  <si>
    <t>Príspevok pre TS Dendrologický plán</t>
  </si>
  <si>
    <t>Príspevok pre TS hydraulický agregát</t>
  </si>
  <si>
    <t>Príspevok pre TS - traktorová kosačka</t>
  </si>
  <si>
    <t>Transfer pre TS plynofikácia kocky</t>
  </si>
  <si>
    <t>Príspevok pre TS - malotraktor</t>
  </si>
  <si>
    <t xml:space="preserve">Príspevok pre TS ref. automobil, strecha budovy TS  </t>
  </si>
  <si>
    <t>kultúrno - spoločenské aktivity</t>
  </si>
  <si>
    <t xml:space="preserve">rekonštrukcia chodníka veža baziliky </t>
  </si>
  <si>
    <t>odvodnenie cesty Predmesie</t>
  </si>
  <si>
    <t>Prevod rezervný fond</t>
  </si>
  <si>
    <t>Sociálna pomoc občanom v hmotnej a sociálnej núdzi</t>
  </si>
  <si>
    <t>ZŠ Francisciho</t>
  </si>
  <si>
    <t>Kostol sv. Jakuba - preložka OEZ</t>
  </si>
  <si>
    <t>vybavenie kom. centra</t>
  </si>
  <si>
    <t>VSD - vyvolávací systém</t>
  </si>
  <si>
    <t>opatrovateľská služba</t>
  </si>
  <si>
    <t>vyvolávací systém</t>
  </si>
  <si>
    <t>Meštiansky dom, NMP 51</t>
  </si>
  <si>
    <t>Meštiansky dom, NMP 50</t>
  </si>
  <si>
    <t>ZŠ Kluberta - telocvičňa</t>
  </si>
  <si>
    <t>zariadenie pre seniorov</t>
  </si>
  <si>
    <t>Skutočnosť 2017</t>
  </si>
  <si>
    <t>Strelecká bašta</t>
  </si>
  <si>
    <t>Prístupová cesta - (kruhový objazd)</t>
  </si>
  <si>
    <t xml:space="preserve">PD </t>
  </si>
  <si>
    <t>Cesta Závada</t>
  </si>
  <si>
    <t>Chodníky Pod vinicou</t>
  </si>
  <si>
    <t>PD Detské ihrisko</t>
  </si>
  <si>
    <t>NMP č. 54 - divadlo,kotolňa</t>
  </si>
  <si>
    <t>ZŠ Kluberta - vybavenie ŠJ</t>
  </si>
  <si>
    <t>VO Žiacka</t>
  </si>
  <si>
    <t>ZŠ Francisciho - kanalizácia</t>
  </si>
  <si>
    <t>Košická ul. č. 26</t>
  </si>
  <si>
    <t>Dotácia na prestavbu NMP- VÚC</t>
  </si>
  <si>
    <t>Prestavba NMP</t>
  </si>
  <si>
    <t>Príspevok pre TS - chodník sídl. Pri prameni</t>
  </si>
  <si>
    <t>Ružencová záhrada</t>
  </si>
  <si>
    <t>úrad vlády</t>
  </si>
  <si>
    <t>07.1.2</t>
  </si>
  <si>
    <t>Ine zdravotnícke služby</t>
  </si>
  <si>
    <t>Centrum integrovanej zdrav. starostlivosti</t>
  </si>
  <si>
    <t>CVČ -  ihrisko</t>
  </si>
  <si>
    <t>Ihrisko PSS</t>
  </si>
  <si>
    <t>Projekty -školy</t>
  </si>
  <si>
    <t>Voľby</t>
  </si>
  <si>
    <t>Príspevok pri narodení dieťaťa</t>
  </si>
  <si>
    <t>Podpora humanitárnej</t>
  </si>
  <si>
    <t>Dejiny mesta</t>
  </si>
  <si>
    <t>Fontána</t>
  </si>
  <si>
    <t>Podpora reg. rozvoja</t>
  </si>
  <si>
    <t>Projekty - škola otvorená všetkým</t>
  </si>
  <si>
    <t>MK SR NMP 50,51</t>
  </si>
  <si>
    <t>MV SR - kamerový systém</t>
  </si>
  <si>
    <t>plnenie</t>
  </si>
  <si>
    <t>Rozpočet 2018</t>
  </si>
  <si>
    <t>plnenie %</t>
  </si>
  <si>
    <t xml:space="preserve">Kategória </t>
  </si>
  <si>
    <t>% plnenia k upravenému rozpočtu</t>
  </si>
  <si>
    <t>Bežný rozpočet (BR)</t>
  </si>
  <si>
    <t>Bežné príjmy (BP)</t>
  </si>
  <si>
    <t>Bežné výdavky (BV)</t>
  </si>
  <si>
    <t>Bežný rozpočet (BP-BV)</t>
  </si>
  <si>
    <t xml:space="preserve">+ prebytok, - schodok </t>
  </si>
  <si>
    <t>Kapitálový rozpočet (KR)</t>
  </si>
  <si>
    <t>Kapitálové príjmy (KP)</t>
  </si>
  <si>
    <t>Kapitálové výdavky (KV)</t>
  </si>
  <si>
    <t>Kapitálový rozpočet (KP-KV)</t>
  </si>
  <si>
    <t>+ prebytok, - schodok</t>
  </si>
  <si>
    <t>Rozpočet spolu</t>
  </si>
  <si>
    <t>Príjem (BP+KP)</t>
  </si>
  <si>
    <t>Výdavky (BV+KV)</t>
  </si>
  <si>
    <t xml:space="preserve">Rozdiel </t>
  </si>
  <si>
    <t>+ prebytok, -  schodok</t>
  </si>
  <si>
    <t>Príjmy celkom</t>
  </si>
  <si>
    <t>Výdavky celkom</t>
  </si>
  <si>
    <t xml:space="preserve">Rozdiel  +, - </t>
  </si>
  <si>
    <t xml:space="preserve">Celkový prebytok </t>
  </si>
  <si>
    <t>(po započítaní FO)</t>
  </si>
  <si>
    <t>Schválený rozpočet</t>
  </si>
  <si>
    <t>Plnenie rozpočtu</t>
  </si>
  <si>
    <t>Rozdelenie prebytku (po započítaní FO)</t>
  </si>
  <si>
    <t>Spolu (zostatok na bežných účtoch)</t>
  </si>
  <si>
    <t>Nevyčerpané dotácie 2018</t>
  </si>
  <si>
    <t>Záverečný účet 2017</t>
  </si>
  <si>
    <t>Zábezpeky 2017</t>
  </si>
  <si>
    <t>Fond opráv ŠFRB k 31.12.2017</t>
  </si>
  <si>
    <t>261 rok 2017</t>
  </si>
  <si>
    <t>261 rok 2018</t>
  </si>
  <si>
    <t>Upravený  rozpočet k 31.12.2018</t>
  </si>
  <si>
    <t>Skutočnosť 2018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</si>
</sst>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00"/>
  </numFmts>
  <fonts count="6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sz val="11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FFFF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C6D9F1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hair"/>
      <bottom style="hair"/>
    </border>
    <border>
      <left style="medium"/>
      <right style="double"/>
      <top style="medium"/>
      <bottom style="medium"/>
    </border>
    <border>
      <left style="medium"/>
      <right style="double"/>
      <top/>
      <bottom style="hair"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double"/>
    </border>
    <border>
      <left/>
      <right>
        <color indexed="63"/>
      </right>
      <top style="double"/>
      <bottom style="double"/>
    </border>
    <border>
      <left style="medium"/>
      <right style="double"/>
      <top style="hair"/>
      <bottom/>
    </border>
    <border>
      <left style="medium"/>
      <right style="double"/>
      <top style="hair"/>
      <bottom style="medium"/>
    </border>
    <border>
      <left/>
      <right/>
      <top/>
      <bottom style="double"/>
    </border>
    <border>
      <left style="medium"/>
      <right style="double"/>
      <top style="medium"/>
      <bottom/>
    </border>
    <border>
      <left style="medium"/>
      <right>
        <color indexed="63"/>
      </right>
      <top style="double"/>
      <bottom/>
    </border>
    <border>
      <left style="medium"/>
      <right style="double"/>
      <top style="double"/>
      <bottom style="medium"/>
    </border>
    <border>
      <left style="medium"/>
      <right style="double"/>
      <top/>
      <bottom/>
    </border>
    <border>
      <left style="medium"/>
      <right style="double"/>
      <top style="medium"/>
      <bottom style="hair"/>
    </border>
    <border>
      <left style="medium"/>
      <right style="double"/>
      <top/>
      <bottom style="medium"/>
    </border>
    <border>
      <left style="medium"/>
      <right style="double"/>
      <top style="double"/>
      <bottom style="hair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medium"/>
      <bottom style="double"/>
    </border>
    <border>
      <left style="double"/>
      <right style="thick">
        <color rgb="FFFFFFFF"/>
      </right>
      <top style="double"/>
      <bottom style="double"/>
    </border>
    <border>
      <left>
        <color indexed="63"/>
      </left>
      <right style="thick">
        <color rgb="FFFFFFFF"/>
      </right>
      <top style="double"/>
      <bottom style="double"/>
    </border>
    <border>
      <left/>
      <right style="double"/>
      <top style="double"/>
      <bottom style="double"/>
    </border>
    <border>
      <left style="double"/>
      <right style="thick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double"/>
      <right style="thick">
        <color rgb="FFFFFFFF"/>
      </right>
      <top>
        <color indexed="63"/>
      </top>
      <bottom>
        <color indexed="63"/>
      </bottom>
    </border>
    <border>
      <left style="double"/>
      <right style="thick">
        <color rgb="FFFFFFFF"/>
      </right>
      <top>
        <color indexed="63"/>
      </top>
      <bottom style="double"/>
    </border>
    <border>
      <left>
        <color indexed="63"/>
      </left>
      <right style="thick">
        <color rgb="FFFFFFFF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ck">
        <color rgb="FFFFFFFF"/>
      </right>
      <top style="double"/>
      <bottom>
        <color indexed="63"/>
      </bottom>
    </border>
    <border>
      <left style="double"/>
      <right style="medium"/>
      <top style="medium"/>
      <bottom/>
    </border>
    <border>
      <left style="double"/>
      <right style="medium"/>
      <top/>
      <bottom style="double"/>
    </border>
    <border>
      <left style="medium"/>
      <right style="medium"/>
      <top/>
      <bottom style="double"/>
    </border>
    <border>
      <left style="medium"/>
      <right>
        <color indexed="63"/>
      </right>
      <top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/>
      <top style="medium"/>
      <bottom/>
    </border>
    <border>
      <left style="double"/>
      <right>
        <color indexed="63"/>
      </right>
      <top style="double"/>
      <bottom style="double"/>
    </border>
    <border>
      <left/>
      <right style="medium"/>
      <top style="double"/>
      <bottom style="double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double"/>
      <bottom/>
    </border>
    <border>
      <left>
        <color indexed="63"/>
      </left>
      <right style="medium"/>
      <top>
        <color indexed="63"/>
      </top>
      <bottom style="double"/>
    </border>
    <border>
      <left/>
      <right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>
        <color rgb="FF000000"/>
      </right>
      <top style="double"/>
      <bottom style="dotted"/>
    </border>
    <border>
      <left style="thick">
        <color rgb="FFFFFFFF"/>
      </left>
      <right style="thick">
        <color rgb="FFFFFFFF"/>
      </right>
      <top style="dotted"/>
      <bottom>
        <color indexed="63"/>
      </bottom>
    </border>
    <border>
      <left style="thick">
        <color rgb="FFFFFFFF"/>
      </left>
      <right style="thick">
        <color rgb="FFFFFFFF"/>
      </right>
      <top>
        <color indexed="63"/>
      </top>
      <bottom style="double"/>
    </border>
    <border>
      <left style="thick">
        <color rgb="FFFFFFFF"/>
      </left>
      <right style="double"/>
      <top style="dotted"/>
      <bottom>
        <color indexed="63"/>
      </bottom>
    </border>
    <border>
      <left style="thick">
        <color rgb="FFFFFFFF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>
        <color rgb="FF000000"/>
      </right>
      <top>
        <color indexed="63"/>
      </top>
      <bottom style="dotted"/>
    </border>
    <border>
      <left style="thick">
        <color rgb="FFFFFFFF"/>
      </left>
      <right style="thick">
        <color rgb="FFFFFFFF"/>
      </right>
      <top style="double"/>
      <bottom>
        <color indexed="63"/>
      </bottom>
    </border>
    <border>
      <left style="thick">
        <color rgb="FFFFFFFF"/>
      </left>
      <right style="double"/>
      <top style="double"/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dotted"/>
    </border>
    <border>
      <left style="thick">
        <color rgb="FF000000"/>
      </left>
      <right/>
      <top style="double">
        <color rgb="FF000000"/>
      </top>
      <bottom style="dotted"/>
    </border>
    <border>
      <left/>
      <right style="double">
        <color rgb="FF000000"/>
      </right>
      <top style="double">
        <color rgb="FF000000"/>
      </top>
      <bottom style="dotted"/>
    </border>
    <border>
      <left style="double"/>
      <right/>
      <top style="dotted"/>
      <bottom style="dotted"/>
    </border>
    <border>
      <left/>
      <right/>
      <top style="dotted"/>
      <bottom style="dotted"/>
    </border>
    <border>
      <left/>
      <right style="thick">
        <color rgb="FF000000"/>
      </right>
      <top style="dotted"/>
      <bottom style="dotted"/>
    </border>
    <border>
      <left style="thick">
        <color rgb="FF000000"/>
      </left>
      <right/>
      <top style="dotted"/>
      <bottom style="dotted"/>
    </border>
    <border>
      <left/>
      <right style="double">
        <color rgb="FF000000"/>
      </right>
      <top style="dotted"/>
      <bottom style="dotted"/>
    </border>
    <border>
      <left style="double"/>
      <right/>
      <top style="dotted"/>
      <bottom style="double"/>
    </border>
    <border>
      <left/>
      <right/>
      <top style="dotted"/>
      <bottom style="double"/>
    </border>
    <border>
      <left/>
      <right style="thick">
        <color rgb="FF000000"/>
      </right>
      <top style="dotted"/>
      <bottom style="double"/>
    </border>
    <border>
      <left style="thick">
        <color rgb="FF000000"/>
      </left>
      <right/>
      <top style="dotted"/>
      <bottom style="double"/>
    </border>
    <border>
      <left/>
      <right style="double">
        <color rgb="FF000000"/>
      </right>
      <top style="dotted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0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16" fillId="0" borderId="0">
      <alignment/>
      <protection/>
    </xf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8" applyNumberFormat="0" applyAlignment="0" applyProtection="0"/>
    <xf numFmtId="0" fontId="56" fillId="24" borderId="8" applyNumberFormat="0" applyAlignment="0" applyProtection="0"/>
    <xf numFmtId="0" fontId="57" fillId="24" borderId="9" applyNumberFormat="0" applyAlignment="0" applyProtection="0"/>
    <xf numFmtId="0" fontId="58" fillId="0" borderId="0" applyNumberFormat="0" applyFill="0" applyBorder="0" applyAlignment="0" applyProtection="0"/>
    <xf numFmtId="0" fontId="59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85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9" fillId="0" borderId="37" xfId="0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9" fillId="0" borderId="36" xfId="0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0" fontId="9" fillId="0" borderId="24" xfId="0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/>
    </xf>
    <xf numFmtId="0" fontId="8" fillId="0" borderId="42" xfId="0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/>
    </xf>
    <xf numFmtId="4" fontId="6" fillId="0" borderId="45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4" fontId="9" fillId="0" borderId="46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>
      <alignment horizontal="center"/>
    </xf>
    <xf numFmtId="0" fontId="7" fillId="0" borderId="40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4" fontId="9" fillId="0" borderId="32" xfId="0" applyNumberFormat="1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9" fillId="0" borderId="25" xfId="0" applyNumberFormat="1" applyFont="1" applyFill="1" applyBorder="1" applyAlignment="1">
      <alignment horizontal="right"/>
    </xf>
    <xf numFmtId="4" fontId="9" fillId="0" borderId="25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/>
    </xf>
    <xf numFmtId="0" fontId="9" fillId="0" borderId="36" xfId="0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 horizontal="right"/>
    </xf>
    <xf numFmtId="4" fontId="9" fillId="0" borderId="32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4" fontId="9" fillId="0" borderId="21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4" fontId="6" fillId="0" borderId="4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6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32" xfId="0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2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12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0" fillId="0" borderId="33" xfId="0" applyFill="1" applyBorder="1" applyAlignment="1">
      <alignment/>
    </xf>
    <xf numFmtId="3" fontId="0" fillId="0" borderId="33" xfId="0" applyNumberFormat="1" applyFill="1" applyBorder="1" applyAlignment="1">
      <alignment/>
    </xf>
    <xf numFmtId="4" fontId="0" fillId="0" borderId="33" xfId="0" applyNumberFormat="1" applyFill="1" applyBorder="1" applyAlignment="1">
      <alignment/>
    </xf>
    <xf numFmtId="49" fontId="8" fillId="0" borderId="49" xfId="0" applyNumberFormat="1" applyFont="1" applyFill="1" applyBorder="1" applyAlignment="1">
      <alignment vertical="center" wrapText="1"/>
    </xf>
    <xf numFmtId="3" fontId="8" fillId="0" borderId="50" xfId="0" applyNumberFormat="1" applyFont="1" applyFill="1" applyBorder="1" applyAlignment="1">
      <alignment vertical="center" wrapText="1"/>
    </xf>
    <xf numFmtId="4" fontId="8" fillId="0" borderId="50" xfId="0" applyNumberFormat="1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/>
    </xf>
    <xf numFmtId="4" fontId="9" fillId="0" borderId="36" xfId="0" applyNumberFormat="1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4" fontId="9" fillId="0" borderId="24" xfId="0" applyNumberFormat="1" applyFont="1" applyFill="1" applyBorder="1" applyAlignment="1">
      <alignment/>
    </xf>
    <xf numFmtId="3" fontId="9" fillId="0" borderId="51" xfId="0" applyNumberFormat="1" applyFont="1" applyFill="1" applyBorder="1" applyAlignment="1">
      <alignment/>
    </xf>
    <xf numFmtId="4" fontId="9" fillId="0" borderId="51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9" fontId="8" fillId="0" borderId="27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/>
    </xf>
    <xf numFmtId="0" fontId="9" fillId="0" borderId="52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right"/>
    </xf>
    <xf numFmtId="4" fontId="9" fillId="0" borderId="36" xfId="0" applyNumberFormat="1" applyFont="1" applyFill="1" applyBorder="1" applyAlignment="1">
      <alignment/>
    </xf>
    <xf numFmtId="0" fontId="9" fillId="0" borderId="51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right"/>
    </xf>
    <xf numFmtId="0" fontId="9" fillId="0" borderId="53" xfId="0" applyNumberFormat="1" applyFont="1" applyFill="1" applyBorder="1" applyAlignment="1">
      <alignment horizontal="center"/>
    </xf>
    <xf numFmtId="0" fontId="9" fillId="0" borderId="53" xfId="0" applyFont="1" applyFill="1" applyBorder="1" applyAlignment="1">
      <alignment/>
    </xf>
    <xf numFmtId="3" fontId="9" fillId="0" borderId="53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/>
    </xf>
    <xf numFmtId="0" fontId="9" fillId="0" borderId="52" xfId="0" applyFont="1" applyFill="1" applyBorder="1" applyAlignment="1">
      <alignment/>
    </xf>
    <xf numFmtId="3" fontId="9" fillId="0" borderId="52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/>
    </xf>
    <xf numFmtId="3" fontId="9" fillId="0" borderId="51" xfId="0" applyNumberFormat="1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0" fontId="9" fillId="0" borderId="52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49" fontId="6" fillId="0" borderId="30" xfId="0" applyNumberFormat="1" applyFont="1" applyFill="1" applyBorder="1" applyAlignment="1">
      <alignment/>
    </xf>
    <xf numFmtId="0" fontId="9" fillId="0" borderId="29" xfId="0" applyNumberFormat="1" applyFont="1" applyFill="1" applyBorder="1" applyAlignment="1">
      <alignment horizontal="center"/>
    </xf>
    <xf numFmtId="0" fontId="9" fillId="0" borderId="54" xfId="0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0" fontId="9" fillId="0" borderId="55" xfId="0" applyFont="1" applyFill="1" applyBorder="1" applyAlignment="1">
      <alignment/>
    </xf>
    <xf numFmtId="0" fontId="9" fillId="0" borderId="56" xfId="0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/>
    </xf>
    <xf numFmtId="0" fontId="9" fillId="0" borderId="57" xfId="0" applyFont="1" applyFill="1" applyBorder="1" applyAlignment="1">
      <alignment horizontal="center"/>
    </xf>
    <xf numFmtId="0" fontId="9" fillId="0" borderId="58" xfId="0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14" fontId="8" fillId="0" borderId="27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0" fontId="9" fillId="0" borderId="53" xfId="0" applyFont="1" applyFill="1" applyBorder="1" applyAlignment="1">
      <alignment horizontal="center"/>
    </xf>
    <xf numFmtId="4" fontId="9" fillId="0" borderId="33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0" fontId="9" fillId="0" borderId="52" xfId="0" applyFont="1" applyFill="1" applyBorder="1" applyAlignment="1">
      <alignment horizontal="left"/>
    </xf>
    <xf numFmtId="3" fontId="9" fillId="0" borderId="52" xfId="0" applyNumberFormat="1" applyFont="1" applyFill="1" applyBorder="1" applyAlignment="1">
      <alignment horizontal="right"/>
    </xf>
    <xf numFmtId="0" fontId="9" fillId="0" borderId="52" xfId="0" applyFont="1" applyFill="1" applyBorder="1" applyAlignment="1">
      <alignment horizontal="right"/>
    </xf>
    <xf numFmtId="0" fontId="9" fillId="0" borderId="59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left"/>
    </xf>
    <xf numFmtId="3" fontId="9" fillId="0" borderId="59" xfId="0" applyNumberFormat="1" applyFont="1" applyFill="1" applyBorder="1" applyAlignment="1">
      <alignment horizontal="right"/>
    </xf>
    <xf numFmtId="0" fontId="9" fillId="0" borderId="59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60" xfId="0" applyFont="1" applyFill="1" applyBorder="1" applyAlignment="1">
      <alignment horizontal="left"/>
    </xf>
    <xf numFmtId="3" fontId="8" fillId="0" borderId="18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0" fontId="9" fillId="0" borderId="59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49" fontId="9" fillId="0" borderId="52" xfId="0" applyNumberFormat="1" applyFont="1" applyFill="1" applyBorder="1" applyAlignment="1">
      <alignment horizontal="center"/>
    </xf>
    <xf numFmtId="49" fontId="9" fillId="0" borderId="51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left"/>
    </xf>
    <xf numFmtId="3" fontId="9" fillId="0" borderId="52" xfId="0" applyNumberFormat="1" applyFont="1" applyFill="1" applyBorder="1" applyAlignment="1">
      <alignment horizontal="left"/>
    </xf>
    <xf numFmtId="49" fontId="9" fillId="0" borderId="52" xfId="0" applyNumberFormat="1" applyFont="1" applyFill="1" applyBorder="1" applyAlignment="1">
      <alignment horizontal="right"/>
    </xf>
    <xf numFmtId="49" fontId="9" fillId="0" borderId="51" xfId="0" applyNumberFormat="1" applyFont="1" applyFill="1" applyBorder="1" applyAlignment="1">
      <alignment horizontal="left"/>
    </xf>
    <xf numFmtId="3" fontId="9" fillId="0" borderId="51" xfId="0" applyNumberFormat="1" applyFont="1" applyFill="1" applyBorder="1" applyAlignment="1">
      <alignment horizontal="left"/>
    </xf>
    <xf numFmtId="49" fontId="9" fillId="0" borderId="51" xfId="0" applyNumberFormat="1" applyFont="1" applyFill="1" applyBorder="1" applyAlignment="1">
      <alignment horizontal="right"/>
    </xf>
    <xf numFmtId="3" fontId="9" fillId="0" borderId="61" xfId="0" applyNumberFormat="1" applyFont="1" applyFill="1" applyBorder="1" applyAlignment="1">
      <alignment horizontal="right"/>
    </xf>
    <xf numFmtId="49" fontId="9" fillId="0" borderId="25" xfId="0" applyNumberFormat="1" applyFont="1" applyFill="1" applyBorder="1" applyAlignment="1">
      <alignment/>
    </xf>
    <xf numFmtId="49" fontId="9" fillId="0" borderId="25" xfId="0" applyNumberFormat="1" applyFont="1" applyFill="1" applyBorder="1" applyAlignment="1">
      <alignment horizontal="right"/>
    </xf>
    <xf numFmtId="3" fontId="9" fillId="0" borderId="62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9" fontId="9" fillId="0" borderId="18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49" fontId="9" fillId="0" borderId="18" xfId="0" applyNumberFormat="1" applyFont="1" applyFill="1" applyBorder="1" applyAlignment="1">
      <alignment horizontal="right"/>
    </xf>
    <xf numFmtId="0" fontId="9" fillId="0" borderId="53" xfId="0" applyFont="1" applyFill="1" applyBorder="1" applyAlignment="1">
      <alignment/>
    </xf>
    <xf numFmtId="3" fontId="9" fillId="0" borderId="53" xfId="0" applyNumberFormat="1" applyFont="1" applyFill="1" applyBorder="1" applyAlignment="1">
      <alignment horizontal="right"/>
    </xf>
    <xf numFmtId="3" fontId="9" fillId="0" borderId="53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3" fontId="8" fillId="0" borderId="52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/>
    </xf>
    <xf numFmtId="3" fontId="8" fillId="0" borderId="59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0" fontId="9" fillId="0" borderId="59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49" fontId="6" fillId="0" borderId="6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62" xfId="0" applyNumberFormat="1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3" fontId="9" fillId="0" borderId="52" xfId="0" applyNumberFormat="1" applyFont="1" applyFill="1" applyBorder="1" applyAlignment="1">
      <alignment/>
    </xf>
    <xf numFmtId="49" fontId="6" fillId="0" borderId="59" xfId="0" applyNumberFormat="1" applyFont="1" applyFill="1" applyBorder="1" applyAlignment="1">
      <alignment horizontal="center"/>
    </xf>
    <xf numFmtId="3" fontId="9" fillId="0" borderId="59" xfId="0" applyNumberFormat="1" applyFont="1" applyFill="1" applyBorder="1" applyAlignment="1">
      <alignment/>
    </xf>
    <xf numFmtId="0" fontId="9" fillId="0" borderId="59" xfId="0" applyFont="1" applyFill="1" applyBorder="1" applyAlignment="1">
      <alignment/>
    </xf>
    <xf numFmtId="49" fontId="6" fillId="0" borderId="51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/>
    </xf>
    <xf numFmtId="16" fontId="8" fillId="0" borderId="27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/>
    </xf>
    <xf numFmtId="0" fontId="8" fillId="0" borderId="27" xfId="0" applyFont="1" applyFill="1" applyBorder="1" applyAlignment="1">
      <alignment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10" fillId="0" borderId="15" xfId="0" applyNumberFormat="1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2" xfId="0" applyNumberFormat="1" applyFont="1" applyFill="1" applyBorder="1" applyAlignment="1">
      <alignment vertical="center" wrapText="1"/>
    </xf>
    <xf numFmtId="4" fontId="0" fillId="0" borderId="32" xfId="0" applyNumberFormat="1" applyFont="1" applyFill="1" applyBorder="1" applyAlignment="1">
      <alignment vertical="center" wrapText="1"/>
    </xf>
    <xf numFmtId="3" fontId="0" fillId="0" borderId="23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34" xfId="0" applyNumberFormat="1" applyFont="1" applyFill="1" applyBorder="1" applyAlignment="1">
      <alignment vertical="center" wrapText="1"/>
    </xf>
    <xf numFmtId="3" fontId="0" fillId="0" borderId="34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9" fillId="0" borderId="66" xfId="0" applyFont="1" applyFill="1" applyBorder="1" applyAlignment="1">
      <alignment/>
    </xf>
    <xf numFmtId="3" fontId="9" fillId="0" borderId="66" xfId="0" applyNumberFormat="1" applyFont="1" applyFill="1" applyBorder="1" applyAlignment="1">
      <alignment/>
    </xf>
    <xf numFmtId="3" fontId="9" fillId="0" borderId="67" xfId="0" applyNumberFormat="1" applyFont="1" applyFill="1" applyBorder="1" applyAlignment="1">
      <alignment/>
    </xf>
    <xf numFmtId="4" fontId="7" fillId="0" borderId="4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49" fontId="6" fillId="0" borderId="30" xfId="0" applyNumberFormat="1" applyFont="1" applyFill="1" applyBorder="1" applyAlignment="1">
      <alignment/>
    </xf>
    <xf numFmtId="49" fontId="8" fillId="0" borderId="27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9" fillId="0" borderId="24" xfId="0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49" fontId="8" fillId="0" borderId="27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3" fontId="9" fillId="0" borderId="36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0" fontId="9" fillId="0" borderId="37" xfId="0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0" fontId="9" fillId="0" borderId="32" xfId="0" applyFont="1" applyFill="1" applyBorder="1" applyAlignment="1">
      <alignment horizontal="left"/>
    </xf>
    <xf numFmtId="3" fontId="9" fillId="0" borderId="32" xfId="0" applyNumberFormat="1" applyFont="1" applyFill="1" applyBorder="1" applyAlignment="1">
      <alignment horizontal="left"/>
    </xf>
    <xf numFmtId="0" fontId="8" fillId="0" borderId="32" xfId="0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4" fontId="9" fillId="0" borderId="32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left"/>
    </xf>
    <xf numFmtId="3" fontId="9" fillId="0" borderId="21" xfId="0" applyNumberFormat="1" applyFont="1" applyFill="1" applyBorder="1" applyAlignment="1">
      <alignment horizontal="left"/>
    </xf>
    <xf numFmtId="0" fontId="8" fillId="0" borderId="21" xfId="0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left"/>
    </xf>
    <xf numFmtId="3" fontId="9" fillId="0" borderId="23" xfId="0" applyNumberFormat="1" applyFont="1" applyFill="1" applyBorder="1" applyAlignment="1">
      <alignment horizontal="left"/>
    </xf>
    <xf numFmtId="0" fontId="8" fillId="0" borderId="23" xfId="0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/>
    </xf>
    <xf numFmtId="0" fontId="9" fillId="0" borderId="34" xfId="0" applyFont="1" applyFill="1" applyBorder="1" applyAlignment="1">
      <alignment horizontal="right"/>
    </xf>
    <xf numFmtId="3" fontId="9" fillId="0" borderId="34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/>
    </xf>
    <xf numFmtId="3" fontId="14" fillId="0" borderId="36" xfId="0" applyNumberFormat="1" applyFont="1" applyFill="1" applyBorder="1" applyAlignment="1">
      <alignment/>
    </xf>
    <xf numFmtId="0" fontId="9" fillId="0" borderId="68" xfId="0" applyFont="1" applyFill="1" applyBorder="1" applyAlignment="1">
      <alignment/>
    </xf>
    <xf numFmtId="3" fontId="9" fillId="0" borderId="69" xfId="0" applyNumberFormat="1" applyFont="1" applyFill="1" applyBorder="1" applyAlignment="1">
      <alignment/>
    </xf>
    <xf numFmtId="0" fontId="9" fillId="0" borderId="69" xfId="0" applyFont="1" applyFill="1" applyBorder="1" applyAlignment="1">
      <alignment/>
    </xf>
    <xf numFmtId="0" fontId="9" fillId="0" borderId="69" xfId="0" applyFont="1" applyFill="1" applyBorder="1" applyAlignment="1">
      <alignment horizontal="right"/>
    </xf>
    <xf numFmtId="3" fontId="9" fillId="0" borderId="69" xfId="0" applyNumberFormat="1" applyFont="1" applyFill="1" applyBorder="1" applyAlignment="1">
      <alignment horizontal="right"/>
    </xf>
    <xf numFmtId="3" fontId="9" fillId="0" borderId="61" xfId="0" applyNumberFormat="1" applyFont="1" applyFill="1" applyBorder="1" applyAlignment="1">
      <alignment/>
    </xf>
    <xf numFmtId="0" fontId="9" fillId="0" borderId="61" xfId="0" applyFont="1" applyFill="1" applyBorder="1" applyAlignment="1">
      <alignment/>
    </xf>
    <xf numFmtId="0" fontId="9" fillId="0" borderId="61" xfId="0" applyFont="1" applyFill="1" applyBorder="1" applyAlignment="1">
      <alignment horizontal="right"/>
    </xf>
    <xf numFmtId="0" fontId="0" fillId="0" borderId="51" xfId="0" applyFont="1" applyFill="1" applyBorder="1" applyAlignment="1">
      <alignment/>
    </xf>
    <xf numFmtId="3" fontId="0" fillId="0" borderId="70" xfId="0" applyNumberFormat="1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70" xfId="0" applyFont="1" applyFill="1" applyBorder="1" applyAlignment="1">
      <alignment horizontal="right"/>
    </xf>
    <xf numFmtId="3" fontId="0" fillId="0" borderId="70" xfId="0" applyNumberFormat="1" applyFont="1" applyFill="1" applyBorder="1" applyAlignment="1">
      <alignment horizontal="right"/>
    </xf>
    <xf numFmtId="0" fontId="9" fillId="0" borderId="63" xfId="0" applyFont="1" applyFill="1" applyBorder="1" applyAlignment="1">
      <alignment/>
    </xf>
    <xf numFmtId="3" fontId="9" fillId="0" borderId="70" xfId="0" applyNumberFormat="1" applyFont="1" applyFill="1" applyBorder="1" applyAlignment="1">
      <alignment/>
    </xf>
    <xf numFmtId="0" fontId="9" fillId="0" borderId="70" xfId="0" applyFont="1" applyFill="1" applyBorder="1" applyAlignment="1">
      <alignment/>
    </xf>
    <xf numFmtId="0" fontId="9" fillId="0" borderId="70" xfId="0" applyFont="1" applyFill="1" applyBorder="1" applyAlignment="1">
      <alignment horizontal="right"/>
    </xf>
    <xf numFmtId="3" fontId="9" fillId="0" borderId="70" xfId="0" applyNumberFormat="1" applyFont="1" applyFill="1" applyBorder="1" applyAlignment="1">
      <alignment horizontal="right"/>
    </xf>
    <xf numFmtId="3" fontId="8" fillId="0" borderId="60" xfId="0" applyNumberFormat="1" applyFont="1" applyFill="1" applyBorder="1" applyAlignment="1">
      <alignment horizontal="left"/>
    </xf>
    <xf numFmtId="0" fontId="8" fillId="0" borderId="60" xfId="0" applyFont="1" applyFill="1" applyBorder="1" applyAlignment="1">
      <alignment horizontal="right"/>
    </xf>
    <xf numFmtId="3" fontId="8" fillId="0" borderId="60" xfId="0" applyNumberFormat="1" applyFont="1" applyFill="1" applyBorder="1" applyAlignment="1">
      <alignment horizontal="right"/>
    </xf>
    <xf numFmtId="3" fontId="9" fillId="0" borderId="36" xfId="0" applyNumberFormat="1" applyFont="1" applyFill="1" applyBorder="1" applyAlignment="1">
      <alignment horizontal="left"/>
    </xf>
    <xf numFmtId="0" fontId="9" fillId="0" borderId="36" xfId="0" applyFont="1" applyFill="1" applyBorder="1" applyAlignment="1">
      <alignment horizontal="left"/>
    </xf>
    <xf numFmtId="0" fontId="9" fillId="0" borderId="36" xfId="0" applyFont="1" applyFill="1" applyBorder="1" applyAlignment="1">
      <alignment horizontal="right"/>
    </xf>
    <xf numFmtId="3" fontId="9" fillId="0" borderId="36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0" fontId="10" fillId="0" borderId="27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6" fillId="0" borderId="27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4" fontId="0" fillId="0" borderId="0" xfId="0" applyNumberFormat="1" applyAlignment="1">
      <alignment/>
    </xf>
    <xf numFmtId="49" fontId="6" fillId="0" borderId="33" xfId="0" applyNumberFormat="1" applyFont="1" applyFill="1" applyBorder="1" applyAlignment="1">
      <alignment horizontal="center"/>
    </xf>
    <xf numFmtId="0" fontId="0" fillId="0" borderId="71" xfId="0" applyFill="1" applyBorder="1" applyAlignment="1">
      <alignment/>
    </xf>
    <xf numFmtId="3" fontId="0" fillId="0" borderId="72" xfId="0" applyNumberFormat="1" applyFill="1" applyBorder="1" applyAlignment="1">
      <alignment/>
    </xf>
    <xf numFmtId="0" fontId="0" fillId="0" borderId="73" xfId="0" applyFill="1" applyBorder="1" applyAlignment="1">
      <alignment/>
    </xf>
    <xf numFmtId="0" fontId="10" fillId="0" borderId="74" xfId="0" applyFont="1" applyFill="1" applyBorder="1" applyAlignment="1">
      <alignment vertical="center"/>
    </xf>
    <xf numFmtId="3" fontId="10" fillId="0" borderId="75" xfId="0" applyNumberFormat="1" applyFont="1" applyFill="1" applyBorder="1" applyAlignment="1">
      <alignment vertical="center"/>
    </xf>
    <xf numFmtId="4" fontId="10" fillId="0" borderId="75" xfId="0" applyNumberFormat="1" applyFont="1" applyFill="1" applyBorder="1" applyAlignment="1">
      <alignment vertical="center"/>
    </xf>
    <xf numFmtId="3" fontId="10" fillId="0" borderId="76" xfId="0" applyNumberFormat="1" applyFont="1" applyFill="1" applyBorder="1" applyAlignment="1">
      <alignment vertical="center"/>
    </xf>
    <xf numFmtId="0" fontId="10" fillId="0" borderId="74" xfId="0" applyFont="1" applyFill="1" applyBorder="1" applyAlignment="1">
      <alignment/>
    </xf>
    <xf numFmtId="3" fontId="10" fillId="0" borderId="75" xfId="0" applyNumberFormat="1" applyFont="1" applyFill="1" applyBorder="1" applyAlignment="1">
      <alignment/>
    </xf>
    <xf numFmtId="4" fontId="10" fillId="0" borderId="75" xfId="0" applyNumberFormat="1" applyFont="1" applyFill="1" applyBorder="1" applyAlignment="1">
      <alignment/>
    </xf>
    <xf numFmtId="3" fontId="10" fillId="0" borderId="76" xfId="0" applyNumberFormat="1" applyFont="1" applyFill="1" applyBorder="1" applyAlignment="1">
      <alignment/>
    </xf>
    <xf numFmtId="0" fontId="15" fillId="0" borderId="77" xfId="0" applyFont="1" applyFill="1" applyBorder="1" applyAlignment="1">
      <alignment/>
    </xf>
    <xf numFmtId="3" fontId="15" fillId="0" borderId="40" xfId="0" applyNumberFormat="1" applyFont="1" applyFill="1" applyBorder="1" applyAlignment="1">
      <alignment/>
    </xf>
    <xf numFmtId="4" fontId="15" fillId="0" borderId="40" xfId="0" applyNumberFormat="1" applyFont="1" applyFill="1" applyBorder="1" applyAlignment="1">
      <alignment/>
    </xf>
    <xf numFmtId="3" fontId="7" fillId="0" borderId="78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4" fontId="0" fillId="0" borderId="72" xfId="0" applyNumberForma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15" fillId="0" borderId="79" xfId="0" applyNumberFormat="1" applyFont="1" applyFill="1" applyBorder="1" applyAlignment="1">
      <alignment/>
    </xf>
    <xf numFmtId="3" fontId="15" fillId="0" borderId="80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7" fillId="0" borderId="31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6" fillId="0" borderId="25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3" fontId="9" fillId="0" borderId="63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 horizontal="right"/>
    </xf>
    <xf numFmtId="0" fontId="9" fillId="0" borderId="22" xfId="0" applyFont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8" fillId="0" borderId="39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4" fontId="14" fillId="0" borderId="36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3" fontId="0" fillId="0" borderId="24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9" fillId="0" borderId="22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60" fillId="0" borderId="0" xfId="0" applyFont="1" applyAlignment="1">
      <alignment/>
    </xf>
    <xf numFmtId="3" fontId="14" fillId="0" borderId="21" xfId="0" applyNumberFormat="1" applyFont="1" applyFill="1" applyBorder="1" applyAlignment="1">
      <alignment/>
    </xf>
    <xf numFmtId="3" fontId="61" fillId="0" borderId="0" xfId="0" applyNumberFormat="1" applyFont="1" applyAlignment="1">
      <alignment/>
    </xf>
    <xf numFmtId="4" fontId="0" fillId="0" borderId="23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8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8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4" fillId="0" borderId="24" xfId="0" applyNumberFormat="1" applyFont="1" applyFill="1" applyBorder="1" applyAlignment="1">
      <alignment/>
    </xf>
    <xf numFmtId="4" fontId="14" fillId="0" borderId="24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3" fontId="9" fillId="0" borderId="63" xfId="0" applyNumberFormat="1" applyFont="1" applyFill="1" applyBorder="1" applyAlignment="1">
      <alignment horizontal="left"/>
    </xf>
    <xf numFmtId="3" fontId="9" fillId="0" borderId="63" xfId="0" applyNumberFormat="1" applyFont="1" applyFill="1" applyBorder="1" applyAlignment="1">
      <alignment horizontal="right"/>
    </xf>
    <xf numFmtId="49" fontId="9" fillId="0" borderId="63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0" fontId="0" fillId="0" borderId="83" xfId="0" applyFill="1" applyBorder="1" applyAlignment="1">
      <alignment/>
    </xf>
    <xf numFmtId="4" fontId="0" fillId="0" borderId="26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0" fontId="9" fillId="0" borderId="34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4" fontId="0" fillId="0" borderId="36" xfId="0" applyNumberFormat="1" applyFont="1" applyBorder="1" applyAlignment="1">
      <alignment/>
    </xf>
    <xf numFmtId="0" fontId="9" fillId="0" borderId="38" xfId="0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 horizontal="right"/>
    </xf>
    <xf numFmtId="4" fontId="9" fillId="0" borderId="25" xfId="0" applyNumberFormat="1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83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83" xfId="0" applyFont="1" applyFill="1" applyBorder="1" applyAlignment="1">
      <alignment/>
    </xf>
    <xf numFmtId="4" fontId="0" fillId="0" borderId="34" xfId="0" applyNumberFormat="1" applyFont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2" fontId="9" fillId="0" borderId="15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 horizontal="left"/>
    </xf>
    <xf numFmtId="0" fontId="8" fillId="0" borderId="35" xfId="0" applyFont="1" applyFill="1" applyBorder="1" applyAlignment="1">
      <alignment horizontal="right"/>
    </xf>
    <xf numFmtId="3" fontId="0" fillId="0" borderId="38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 horizontal="right"/>
    </xf>
    <xf numFmtId="4" fontId="0" fillId="0" borderId="51" xfId="0" applyNumberFormat="1" applyFill="1" applyBorder="1" applyAlignment="1">
      <alignment/>
    </xf>
    <xf numFmtId="4" fontId="0" fillId="0" borderId="63" xfId="0" applyNumberFormat="1" applyFill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84" xfId="0" applyNumberFormat="1" applyFont="1" applyBorder="1" applyAlignment="1">
      <alignment/>
    </xf>
    <xf numFmtId="3" fontId="8" fillId="0" borderId="85" xfId="0" applyNumberFormat="1" applyFont="1" applyFill="1" applyBorder="1" applyAlignment="1">
      <alignment vertical="center" wrapText="1"/>
    </xf>
    <xf numFmtId="0" fontId="0" fillId="0" borderId="34" xfId="0" applyFont="1" applyFill="1" applyBorder="1" applyAlignment="1">
      <alignment/>
    </xf>
    <xf numFmtId="3" fontId="10" fillId="0" borderId="16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4" fontId="7" fillId="0" borderId="48" xfId="0" applyNumberFormat="1" applyFont="1" applyFill="1" applyBorder="1" applyAlignment="1">
      <alignment/>
    </xf>
    <xf numFmtId="4" fontId="9" fillId="0" borderId="22" xfId="0" applyNumberFormat="1" applyFont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/>
    </xf>
    <xf numFmtId="4" fontId="8" fillId="0" borderId="38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0" fillId="0" borderId="78" xfId="0" applyNumberFormat="1" applyFill="1" applyBorder="1" applyAlignment="1">
      <alignment/>
    </xf>
    <xf numFmtId="4" fontId="0" fillId="0" borderId="36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187" fontId="8" fillId="0" borderId="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3" fontId="9" fillId="0" borderId="60" xfId="0" applyNumberFormat="1" applyFont="1" applyFill="1" applyBorder="1" applyAlignment="1">
      <alignment/>
    </xf>
    <xf numFmtId="0" fontId="9" fillId="0" borderId="60" xfId="0" applyFont="1" applyFill="1" applyBorder="1" applyAlignment="1">
      <alignment/>
    </xf>
    <xf numFmtId="0" fontId="9" fillId="0" borderId="60" xfId="0" applyFont="1" applyFill="1" applyBorder="1" applyAlignment="1">
      <alignment horizontal="right"/>
    </xf>
    <xf numFmtId="3" fontId="9" fillId="0" borderId="60" xfId="0" applyNumberFormat="1" applyFont="1" applyFill="1" applyBorder="1" applyAlignment="1">
      <alignment horizontal="right"/>
    </xf>
    <xf numFmtId="0" fontId="9" fillId="0" borderId="33" xfId="0" applyFont="1" applyFill="1" applyBorder="1" applyAlignment="1">
      <alignment horizontal="center"/>
    </xf>
    <xf numFmtId="3" fontId="9" fillId="0" borderId="33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4" fontId="8" fillId="0" borderId="86" xfId="0" applyNumberFormat="1" applyFont="1" applyFill="1" applyBorder="1" applyAlignment="1">
      <alignment vertical="center" wrapText="1"/>
    </xf>
    <xf numFmtId="4" fontId="8" fillId="0" borderId="45" xfId="0" applyNumberFormat="1" applyFont="1" applyFill="1" applyBorder="1" applyAlignment="1">
      <alignment/>
    </xf>
    <xf numFmtId="4" fontId="0" fillId="0" borderId="87" xfId="0" applyNumberFormat="1" applyFont="1" applyBorder="1" applyAlignment="1">
      <alignment/>
    </xf>
    <xf numFmtId="4" fontId="8" fillId="0" borderId="45" xfId="0" applyNumberFormat="1" applyFont="1" applyFill="1" applyBorder="1" applyAlignment="1">
      <alignment/>
    </xf>
    <xf numFmtId="4" fontId="0" fillId="0" borderId="88" xfId="0" applyNumberFormat="1" applyFont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0" fillId="0" borderId="89" xfId="0" applyNumberFormat="1" applyFont="1" applyBorder="1" applyAlignment="1">
      <alignment/>
    </xf>
    <xf numFmtId="4" fontId="8" fillId="0" borderId="89" xfId="0" applyNumberFormat="1" applyFont="1" applyFill="1" applyBorder="1" applyAlignment="1">
      <alignment/>
    </xf>
    <xf numFmtId="4" fontId="0" fillId="0" borderId="88" xfId="0" applyNumberFormat="1" applyFont="1" applyBorder="1" applyAlignment="1">
      <alignment/>
    </xf>
    <xf numFmtId="4" fontId="6" fillId="0" borderId="45" xfId="0" applyNumberFormat="1" applyFont="1" applyFill="1" applyBorder="1" applyAlignment="1">
      <alignment/>
    </xf>
    <xf numFmtId="4" fontId="1" fillId="0" borderId="45" xfId="0" applyNumberFormat="1" applyFont="1" applyBorder="1" applyAlignment="1">
      <alignment/>
    </xf>
    <xf numFmtId="4" fontId="6" fillId="0" borderId="82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 vertical="center" wrapText="1"/>
    </xf>
    <xf numFmtId="4" fontId="1" fillId="0" borderId="45" xfId="0" applyNumberFormat="1" applyFont="1" applyFill="1" applyBorder="1" applyAlignment="1">
      <alignment vertical="center" wrapText="1"/>
    </xf>
    <xf numFmtId="4" fontId="7" fillId="0" borderId="79" xfId="0" applyNumberFormat="1" applyFont="1" applyFill="1" applyBorder="1" applyAlignment="1">
      <alignment/>
    </xf>
    <xf numFmtId="4" fontId="7" fillId="0" borderId="86" xfId="0" applyNumberFormat="1" applyFont="1" applyFill="1" applyBorder="1" applyAlignment="1">
      <alignment/>
    </xf>
    <xf numFmtId="4" fontId="10" fillId="0" borderId="45" xfId="0" applyNumberFormat="1" applyFont="1" applyBorder="1" applyAlignment="1">
      <alignment/>
    </xf>
    <xf numFmtId="4" fontId="6" fillId="0" borderId="89" xfId="0" applyNumberFormat="1" applyFont="1" applyFill="1" applyBorder="1" applyAlignment="1">
      <alignment/>
    </xf>
    <xf numFmtId="4" fontId="7" fillId="0" borderId="84" xfId="0" applyNumberFormat="1" applyFont="1" applyFill="1" applyBorder="1" applyAlignment="1">
      <alignment/>
    </xf>
    <xf numFmtId="4" fontId="8" fillId="0" borderId="84" xfId="0" applyNumberFormat="1" applyFont="1" applyFill="1" applyBorder="1" applyAlignment="1">
      <alignment/>
    </xf>
    <xf numFmtId="4" fontId="9" fillId="0" borderId="81" xfId="0" applyNumberFormat="1" applyFont="1" applyFill="1" applyBorder="1" applyAlignment="1">
      <alignment/>
    </xf>
    <xf numFmtId="4" fontId="9" fillId="0" borderId="87" xfId="0" applyNumberFormat="1" applyFont="1" applyFill="1" applyBorder="1" applyAlignment="1">
      <alignment/>
    </xf>
    <xf numFmtId="4" fontId="8" fillId="0" borderId="89" xfId="0" applyNumberFormat="1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15" fillId="0" borderId="79" xfId="0" applyNumberFormat="1" applyFont="1" applyBorder="1" applyAlignment="1">
      <alignment/>
    </xf>
    <xf numFmtId="4" fontId="7" fillId="0" borderId="89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8" fillId="0" borderId="84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" fontId="9" fillId="0" borderId="88" xfId="0" applyNumberFormat="1" applyFont="1" applyFill="1" applyBorder="1" applyAlignment="1">
      <alignment/>
    </xf>
    <xf numFmtId="4" fontId="9" fillId="0" borderId="89" xfId="0" applyNumberFormat="1" applyFont="1" applyFill="1" applyBorder="1" applyAlignment="1">
      <alignment/>
    </xf>
    <xf numFmtId="4" fontId="14" fillId="0" borderId="88" xfId="0" applyNumberFormat="1" applyFont="1" applyFill="1" applyBorder="1" applyAlignment="1">
      <alignment/>
    </xf>
    <xf numFmtId="4" fontId="9" fillId="0" borderId="46" xfId="0" applyNumberFormat="1" applyFont="1" applyFill="1" applyBorder="1" applyAlignment="1">
      <alignment/>
    </xf>
    <xf numFmtId="4" fontId="8" fillId="0" borderId="44" xfId="0" applyNumberFormat="1" applyFont="1" applyFill="1" applyBorder="1" applyAlignment="1">
      <alignment/>
    </xf>
    <xf numFmtId="4" fontId="14" fillId="0" borderId="44" xfId="0" applyNumberFormat="1" applyFont="1" applyFill="1" applyBorder="1" applyAlignment="1">
      <alignment/>
    </xf>
    <xf numFmtId="4" fontId="9" fillId="0" borderId="82" xfId="0" applyNumberFormat="1" applyFont="1" applyFill="1" applyBorder="1" applyAlignment="1">
      <alignment/>
    </xf>
    <xf numFmtId="4" fontId="9" fillId="0" borderId="88" xfId="0" applyNumberFormat="1" applyFont="1" applyFill="1" applyBorder="1" applyAlignment="1">
      <alignment/>
    </xf>
    <xf numFmtId="4" fontId="9" fillId="0" borderId="82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4" fontId="6" fillId="0" borderId="79" xfId="0" applyNumberFormat="1" applyFont="1" applyFill="1" applyBorder="1" applyAlignment="1">
      <alignment/>
    </xf>
    <xf numFmtId="4" fontId="0" fillId="0" borderId="89" xfId="0" applyNumberFormat="1" applyFill="1" applyBorder="1" applyAlignment="1">
      <alignment/>
    </xf>
    <xf numFmtId="4" fontId="0" fillId="0" borderId="88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 horizontal="right"/>
    </xf>
    <xf numFmtId="4" fontId="0" fillId="0" borderId="44" xfId="0" applyNumberFormat="1" applyFill="1" applyBorder="1" applyAlignment="1">
      <alignment/>
    </xf>
    <xf numFmtId="4" fontId="0" fillId="0" borderId="81" xfId="0" applyNumberFormat="1" applyFill="1" applyBorder="1" applyAlignment="1">
      <alignment/>
    </xf>
    <xf numFmtId="4" fontId="7" fillId="0" borderId="78" xfId="0" applyNumberFormat="1" applyFont="1" applyFill="1" applyBorder="1" applyAlignment="1">
      <alignment/>
    </xf>
    <xf numFmtId="4" fontId="8" fillId="0" borderId="37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4" fontId="7" fillId="0" borderId="39" xfId="0" applyNumberFormat="1" applyFont="1" applyFill="1" applyBorder="1" applyAlignment="1">
      <alignment/>
    </xf>
    <xf numFmtId="4" fontId="8" fillId="0" borderId="39" xfId="0" applyNumberFormat="1" applyFont="1" applyFill="1" applyBorder="1" applyAlignment="1">
      <alignment/>
    </xf>
    <xf numFmtId="4" fontId="8" fillId="0" borderId="38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15" fillId="0" borderId="40" xfId="0" applyNumberFormat="1" applyFont="1" applyBorder="1" applyAlignment="1">
      <alignment/>
    </xf>
    <xf numFmtId="4" fontId="0" fillId="0" borderId="90" xfId="0" applyNumberForma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0" fillId="0" borderId="91" xfId="0" applyNumberFormat="1" applyFill="1" applyBorder="1" applyAlignment="1">
      <alignment horizontal="right"/>
    </xf>
    <xf numFmtId="4" fontId="0" fillId="0" borderId="33" xfId="0" applyNumberFormat="1" applyFill="1" applyBorder="1" applyAlignment="1">
      <alignment horizontal="right"/>
    </xf>
    <xf numFmtId="4" fontId="10" fillId="0" borderId="92" xfId="0" applyNumberFormat="1" applyFont="1" applyFill="1" applyBorder="1" applyAlignment="1">
      <alignment horizontal="right" vertical="center"/>
    </xf>
    <xf numFmtId="4" fontId="10" fillId="0" borderId="92" xfId="0" applyNumberFormat="1" applyFont="1" applyFill="1" applyBorder="1" applyAlignment="1">
      <alignment horizontal="right"/>
    </xf>
    <xf numFmtId="4" fontId="15" fillId="0" borderId="48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4" fontId="14" fillId="0" borderId="22" xfId="0" applyNumberFormat="1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4" fontId="8" fillId="0" borderId="78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0" fillId="0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0" fontId="62" fillId="32" borderId="93" xfId="0" applyFont="1" applyFill="1" applyBorder="1" applyAlignment="1">
      <alignment vertical="center" wrapText="1"/>
    </xf>
    <xf numFmtId="0" fontId="62" fillId="32" borderId="94" xfId="0" applyFont="1" applyFill="1" applyBorder="1" applyAlignment="1">
      <alignment horizontal="center" vertical="center" wrapText="1"/>
    </xf>
    <xf numFmtId="0" fontId="62" fillId="32" borderId="95" xfId="0" applyFont="1" applyFill="1" applyBorder="1" applyAlignment="1">
      <alignment horizontal="center" vertical="center" wrapText="1"/>
    </xf>
    <xf numFmtId="0" fontId="20" fillId="0" borderId="96" xfId="0" applyFont="1" applyBorder="1" applyAlignment="1">
      <alignment vertical="center" wrapText="1"/>
    </xf>
    <xf numFmtId="3" fontId="20" fillId="0" borderId="97" xfId="0" applyNumberFormat="1" applyFont="1" applyBorder="1" applyAlignment="1">
      <alignment horizontal="center" vertical="center" wrapText="1"/>
    </xf>
    <xf numFmtId="4" fontId="20" fillId="0" borderId="97" xfId="0" applyNumberFormat="1" applyFont="1" applyBorder="1" applyAlignment="1">
      <alignment horizontal="center" vertical="center" wrapText="1"/>
    </xf>
    <xf numFmtId="0" fontId="20" fillId="33" borderId="98" xfId="0" applyFont="1" applyFill="1" applyBorder="1" applyAlignment="1">
      <alignment vertical="center" wrapText="1"/>
    </xf>
    <xf numFmtId="0" fontId="20" fillId="33" borderId="99" xfId="0" applyFont="1" applyFill="1" applyBorder="1" applyAlignment="1">
      <alignment vertical="center" wrapText="1"/>
    </xf>
    <xf numFmtId="3" fontId="19" fillId="33" borderId="100" xfId="0" applyNumberFormat="1" applyFont="1" applyFill="1" applyBorder="1" applyAlignment="1">
      <alignment horizontal="center" vertical="center" wrapText="1"/>
    </xf>
    <xf numFmtId="4" fontId="19" fillId="33" borderId="100" xfId="0" applyNumberFormat="1" applyFont="1" applyFill="1" applyBorder="1" applyAlignment="1">
      <alignment horizontal="center" vertical="center" wrapText="1"/>
    </xf>
    <xf numFmtId="0" fontId="62" fillId="32" borderId="99" xfId="0" applyFont="1" applyFill="1" applyBorder="1" applyAlignment="1">
      <alignment vertical="center" wrapText="1"/>
    </xf>
    <xf numFmtId="4" fontId="20" fillId="0" borderId="101" xfId="0" applyNumberFormat="1" applyFont="1" applyBorder="1" applyAlignment="1">
      <alignment horizontal="center" vertical="center" wrapText="1"/>
    </xf>
    <xf numFmtId="4" fontId="20" fillId="33" borderId="102" xfId="0" applyNumberFormat="1" applyFont="1" applyFill="1" applyBorder="1" applyAlignment="1">
      <alignment horizontal="center" vertical="center" wrapText="1"/>
    </xf>
    <xf numFmtId="0" fontId="62" fillId="32" borderId="103" xfId="0" applyFont="1" applyFill="1" applyBorder="1" applyAlignment="1">
      <alignment vertical="center" wrapText="1"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0" fillId="0" borderId="97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04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10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83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108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left"/>
    </xf>
    <xf numFmtId="0" fontId="9" fillId="0" borderId="104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111" xfId="0" applyFont="1" applyFill="1" applyBorder="1" applyAlignment="1">
      <alignment horizontal="left"/>
    </xf>
    <xf numFmtId="0" fontId="7" fillId="0" borderId="80" xfId="0" applyFont="1" applyFill="1" applyBorder="1" applyAlignment="1">
      <alignment horizontal="left"/>
    </xf>
    <xf numFmtId="0" fontId="7" fillId="0" borderId="112" xfId="0" applyFont="1" applyFill="1" applyBorder="1" applyAlignment="1">
      <alignment horizontal="left"/>
    </xf>
    <xf numFmtId="0" fontId="9" fillId="0" borderId="39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1" fillId="0" borderId="83" xfId="0" applyFont="1" applyBorder="1" applyAlignment="1">
      <alignment horizontal="left"/>
    </xf>
    <xf numFmtId="49" fontId="8" fillId="0" borderId="10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6" fillId="0" borderId="10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left"/>
    </xf>
    <xf numFmtId="0" fontId="8" fillId="0" borderId="6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/>
    </xf>
    <xf numFmtId="0" fontId="0" fillId="0" borderId="10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104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6" fontId="8" fillId="0" borderId="104" xfId="0" applyNumberFormat="1" applyFont="1" applyFill="1" applyBorder="1" applyAlignment="1">
      <alignment horizontal="center"/>
    </xf>
    <xf numFmtId="16" fontId="8" fillId="0" borderId="30" xfId="0" applyNumberFormat="1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49" fontId="8" fillId="0" borderId="60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13" xfId="0" applyFont="1" applyFill="1" applyBorder="1" applyAlignment="1">
      <alignment horizontal="left" vertical="center" wrapText="1"/>
    </xf>
    <xf numFmtId="0" fontId="8" fillId="0" borderId="114" xfId="0" applyFont="1" applyFill="1" applyBorder="1" applyAlignment="1">
      <alignment horizontal="left" vertical="center" wrapText="1"/>
    </xf>
    <xf numFmtId="49" fontId="13" fillId="0" borderId="49" xfId="0" applyNumberFormat="1" applyFont="1" applyFill="1" applyBorder="1" applyAlignment="1">
      <alignment horizontal="center" vertical="center" wrapText="1"/>
    </xf>
    <xf numFmtId="49" fontId="13" fillId="0" borderId="105" xfId="0" applyNumberFormat="1" applyFont="1" applyFill="1" applyBorder="1" applyAlignment="1">
      <alignment horizontal="center" vertical="center" wrapText="1"/>
    </xf>
    <xf numFmtId="16" fontId="6" fillId="0" borderId="115" xfId="0" applyNumberFormat="1" applyFont="1" applyFill="1" applyBorder="1" applyAlignment="1">
      <alignment horizontal="center" vertical="center" wrapText="1"/>
    </xf>
    <xf numFmtId="16" fontId="6" fillId="0" borderId="116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/>
    </xf>
    <xf numFmtId="0" fontId="8" fillId="0" borderId="104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6" fillId="0" borderId="115" xfId="0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/>
    </xf>
    <xf numFmtId="49" fontId="6" fillId="0" borderId="31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83" fontId="6" fillId="0" borderId="14" xfId="0" applyNumberFormat="1" applyFont="1" applyFill="1" applyBorder="1" applyAlignment="1">
      <alignment horizontal="center"/>
    </xf>
    <xf numFmtId="183" fontId="6" fillId="0" borderId="19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16" fontId="6" fillId="0" borderId="50" xfId="0" applyNumberFormat="1" applyFont="1" applyFill="1" applyBorder="1" applyAlignment="1">
      <alignment horizontal="center" vertical="center" wrapText="1"/>
    </xf>
    <xf numFmtId="16" fontId="6" fillId="0" borderId="106" xfId="0" applyNumberFormat="1" applyFont="1" applyFill="1" applyBorder="1" applyAlignment="1">
      <alignment horizontal="center" vertical="center" wrapText="1"/>
    </xf>
    <xf numFmtId="16" fontId="6" fillId="0" borderId="83" xfId="0" applyNumberFormat="1" applyFont="1" applyFill="1" applyBorder="1" applyAlignment="1">
      <alignment horizontal="left"/>
    </xf>
    <xf numFmtId="0" fontId="6" fillId="0" borderId="111" xfId="0" applyFont="1" applyFill="1" applyBorder="1" applyAlignment="1">
      <alignment horizontal="left"/>
    </xf>
    <xf numFmtId="0" fontId="6" fillId="0" borderId="80" xfId="0" applyFont="1" applyFill="1" applyBorder="1" applyAlignment="1">
      <alignment horizontal="left"/>
    </xf>
    <xf numFmtId="0" fontId="6" fillId="0" borderId="112" xfId="0" applyFont="1" applyFill="1" applyBorder="1" applyAlignment="1">
      <alignment horizontal="left"/>
    </xf>
    <xf numFmtId="0" fontId="0" fillId="0" borderId="117" xfId="0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05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0" fillId="0" borderId="10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10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5" fillId="0" borderId="118" xfId="0" applyFont="1" applyFill="1" applyBorder="1" applyAlignment="1">
      <alignment horizontal="left" vertical="center"/>
    </xf>
    <xf numFmtId="0" fontId="15" fillId="0" borderId="117" xfId="0" applyFont="1" applyFill="1" applyBorder="1" applyAlignment="1">
      <alignment horizontal="left" vertical="center"/>
    </xf>
    <xf numFmtId="0" fontId="15" fillId="0" borderId="119" xfId="0" applyFont="1" applyFill="1" applyBorder="1" applyAlignment="1">
      <alignment horizontal="left" vertical="center"/>
    </xf>
    <xf numFmtId="0" fontId="15" fillId="0" borderId="120" xfId="0" applyFont="1" applyFill="1" applyBorder="1" applyAlignment="1">
      <alignment horizontal="left" vertical="center"/>
    </xf>
    <xf numFmtId="0" fontId="15" fillId="0" borderId="83" xfId="0" applyFont="1" applyFill="1" applyBorder="1" applyAlignment="1">
      <alignment horizontal="left" vertical="center"/>
    </xf>
    <xf numFmtId="0" fontId="15" fillId="0" borderId="102" xfId="0" applyFont="1" applyFill="1" applyBorder="1" applyAlignment="1">
      <alignment horizontal="left" vertical="center"/>
    </xf>
    <xf numFmtId="0" fontId="0" fillId="0" borderId="111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9" fillId="0" borderId="121" xfId="0" applyFont="1" applyBorder="1" applyAlignment="1">
      <alignment vertical="center" wrapText="1"/>
    </xf>
    <xf numFmtId="0" fontId="19" fillId="0" borderId="122" xfId="0" applyFont="1" applyBorder="1" applyAlignment="1">
      <alignment vertical="center" wrapText="1"/>
    </xf>
    <xf numFmtId="0" fontId="19" fillId="0" borderId="123" xfId="0" applyFont="1" applyBorder="1" applyAlignment="1">
      <alignment vertical="center" wrapText="1"/>
    </xf>
    <xf numFmtId="3" fontId="19" fillId="33" borderId="124" xfId="0" applyNumberFormat="1" applyFont="1" applyFill="1" applyBorder="1" applyAlignment="1">
      <alignment horizontal="center" vertical="center" wrapText="1"/>
    </xf>
    <xf numFmtId="3" fontId="19" fillId="33" borderId="125" xfId="0" applyNumberFormat="1" applyFont="1" applyFill="1" applyBorder="1" applyAlignment="1">
      <alignment horizontal="center" vertical="center" wrapText="1"/>
    </xf>
    <xf numFmtId="4" fontId="19" fillId="33" borderId="124" xfId="0" applyNumberFormat="1" applyFont="1" applyFill="1" applyBorder="1" applyAlignment="1">
      <alignment horizontal="center" vertical="center" wrapText="1"/>
    </xf>
    <xf numFmtId="4" fontId="19" fillId="33" borderId="125" xfId="0" applyNumberFormat="1" applyFont="1" applyFill="1" applyBorder="1" applyAlignment="1">
      <alignment horizontal="center" vertical="center" wrapText="1"/>
    </xf>
    <xf numFmtId="4" fontId="20" fillId="33" borderId="126" xfId="0" applyNumberFormat="1" applyFont="1" applyFill="1" applyBorder="1" applyAlignment="1">
      <alignment horizontal="center" vertical="center" wrapText="1"/>
    </xf>
    <xf numFmtId="4" fontId="20" fillId="33" borderId="127" xfId="0" applyNumberFormat="1" applyFont="1" applyFill="1" applyBorder="1" applyAlignment="1">
      <alignment horizontal="center" vertical="center" wrapText="1"/>
    </xf>
    <xf numFmtId="0" fontId="19" fillId="0" borderId="128" xfId="0" applyFont="1" applyBorder="1" applyAlignment="1">
      <alignment vertical="center" wrapText="1"/>
    </xf>
    <xf numFmtId="0" fontId="19" fillId="0" borderId="129" xfId="0" applyFont="1" applyBorder="1" applyAlignment="1">
      <alignment vertical="center" wrapText="1"/>
    </xf>
    <xf numFmtId="0" fontId="19" fillId="0" borderId="130" xfId="0" applyFont="1" applyBorder="1" applyAlignment="1">
      <alignment vertical="center" wrapText="1"/>
    </xf>
    <xf numFmtId="3" fontId="62" fillId="32" borderId="131" xfId="0" applyNumberFormat="1" applyFont="1" applyFill="1" applyBorder="1" applyAlignment="1">
      <alignment horizontal="center" vertical="center" wrapText="1"/>
    </xf>
    <xf numFmtId="0" fontId="62" fillId="32" borderId="125" xfId="0" applyFont="1" applyFill="1" applyBorder="1" applyAlignment="1">
      <alignment horizontal="center" vertical="center" wrapText="1"/>
    </xf>
    <xf numFmtId="4" fontId="62" fillId="32" borderId="131" xfId="0" applyNumberFormat="1" applyFont="1" applyFill="1" applyBorder="1" applyAlignment="1">
      <alignment horizontal="center" vertical="center" wrapText="1"/>
    </xf>
    <xf numFmtId="4" fontId="62" fillId="32" borderId="125" xfId="0" applyNumberFormat="1" applyFont="1" applyFill="1" applyBorder="1" applyAlignment="1">
      <alignment horizontal="center" vertical="center" wrapText="1"/>
    </xf>
    <xf numFmtId="0" fontId="63" fillId="32" borderId="132" xfId="0" applyFont="1" applyFill="1" applyBorder="1" applyAlignment="1">
      <alignment horizontal="center" vertical="center" wrapText="1"/>
    </xf>
    <xf numFmtId="0" fontId="63" fillId="32" borderId="127" xfId="0" applyFont="1" applyFill="1" applyBorder="1" applyAlignment="1">
      <alignment horizontal="center" vertical="center" wrapText="1"/>
    </xf>
    <xf numFmtId="3" fontId="62" fillId="32" borderId="131" xfId="0" applyNumberFormat="1" applyFont="1" applyFill="1" applyBorder="1" applyAlignment="1">
      <alignment horizontal="right" vertical="center" wrapText="1"/>
    </xf>
    <xf numFmtId="0" fontId="62" fillId="32" borderId="125" xfId="0" applyFont="1" applyFill="1" applyBorder="1" applyAlignment="1">
      <alignment horizontal="right" vertical="center" wrapText="1"/>
    </xf>
    <xf numFmtId="0" fontId="21" fillId="0" borderId="128" xfId="0" applyFont="1" applyBorder="1" applyAlignment="1">
      <alignment horizontal="justify" vertical="center" wrapText="1"/>
    </xf>
    <xf numFmtId="0" fontId="21" fillId="0" borderId="129" xfId="0" applyFont="1" applyBorder="1" applyAlignment="1">
      <alignment horizontal="justify" vertical="center" wrapText="1"/>
    </xf>
    <xf numFmtId="0" fontId="21" fillId="0" borderId="133" xfId="0" applyFont="1" applyBorder="1" applyAlignment="1">
      <alignment horizontal="justify" vertical="center" wrapText="1"/>
    </xf>
    <xf numFmtId="0" fontId="21" fillId="0" borderId="134" xfId="0" applyFont="1" applyBorder="1" applyAlignment="1">
      <alignment horizontal="right" vertical="center" wrapText="1"/>
    </xf>
    <xf numFmtId="0" fontId="21" fillId="0" borderId="135" xfId="0" applyFont="1" applyBorder="1" applyAlignment="1">
      <alignment horizontal="right" vertical="center" wrapText="1"/>
    </xf>
    <xf numFmtId="0" fontId="18" fillId="0" borderId="136" xfId="0" applyFont="1" applyBorder="1" applyAlignment="1">
      <alignment vertical="center" wrapText="1"/>
    </xf>
    <xf numFmtId="0" fontId="18" fillId="0" borderId="137" xfId="0" applyFont="1" applyBorder="1" applyAlignment="1">
      <alignment vertical="center" wrapText="1"/>
    </xf>
    <xf numFmtId="0" fontId="18" fillId="0" borderId="138" xfId="0" applyFont="1" applyBorder="1" applyAlignment="1">
      <alignment vertical="center" wrapText="1"/>
    </xf>
    <xf numFmtId="4" fontId="18" fillId="0" borderId="139" xfId="0" applyNumberFormat="1" applyFont="1" applyBorder="1" applyAlignment="1">
      <alignment horizontal="right" vertical="center" wrapText="1"/>
    </xf>
    <xf numFmtId="4" fontId="18" fillId="0" borderId="140" xfId="0" applyNumberFormat="1" applyFont="1" applyBorder="1" applyAlignment="1">
      <alignment horizontal="right" vertical="center" wrapText="1"/>
    </xf>
    <xf numFmtId="3" fontId="18" fillId="0" borderId="136" xfId="0" applyNumberFormat="1" applyFont="1" applyBorder="1" applyAlignment="1">
      <alignment horizontal="left" vertical="center" wrapText="1"/>
    </xf>
    <xf numFmtId="0" fontId="18" fillId="0" borderId="137" xfId="0" applyFont="1" applyBorder="1" applyAlignment="1">
      <alignment horizontal="left" vertical="center" wrapText="1"/>
    </xf>
    <xf numFmtId="0" fontId="18" fillId="0" borderId="138" xfId="0" applyFont="1" applyBorder="1" applyAlignment="1">
      <alignment horizontal="left" vertical="center" wrapText="1"/>
    </xf>
    <xf numFmtId="0" fontId="18" fillId="0" borderId="136" xfId="0" applyFont="1" applyBorder="1" applyAlignment="1">
      <alignment horizontal="left" vertical="center" wrapText="1"/>
    </xf>
    <xf numFmtId="0" fontId="21" fillId="0" borderId="141" xfId="0" applyFont="1" applyBorder="1" applyAlignment="1">
      <alignment horizontal="justify" vertical="center" wrapText="1"/>
    </xf>
    <xf numFmtId="0" fontId="21" fillId="0" borderId="142" xfId="0" applyFont="1" applyBorder="1" applyAlignment="1">
      <alignment horizontal="justify" vertical="center" wrapText="1"/>
    </xf>
    <xf numFmtId="0" fontId="21" fillId="0" borderId="143" xfId="0" applyFont="1" applyBorder="1" applyAlignment="1">
      <alignment horizontal="justify" vertical="center" wrapText="1"/>
    </xf>
    <xf numFmtId="4" fontId="21" fillId="0" borderId="144" xfId="0" applyNumberFormat="1" applyFont="1" applyBorder="1" applyAlignment="1">
      <alignment horizontal="right" vertical="center" wrapText="1"/>
    </xf>
    <xf numFmtId="4" fontId="21" fillId="0" borderId="145" xfId="0" applyNumberFormat="1" applyFont="1" applyBorder="1" applyAlignment="1">
      <alignment horizontal="right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Y116"/>
  <sheetViews>
    <sheetView workbookViewId="0" topLeftCell="A68">
      <selection activeCell="U106" sqref="U106"/>
    </sheetView>
  </sheetViews>
  <sheetFormatPr defaultColWidth="9.140625" defaultRowHeight="12.75"/>
  <cols>
    <col min="1" max="2" width="9.140625" style="1" customWidth="1"/>
    <col min="3" max="3" width="41.28125" style="1" customWidth="1"/>
    <col min="4" max="11" width="12.7109375" style="1" hidden="1" customWidth="1"/>
    <col min="12" max="12" width="14.421875" style="1" hidden="1" customWidth="1"/>
    <col min="13" max="13" width="16.00390625" style="1" hidden="1" customWidth="1"/>
    <col min="14" max="14" width="14.8515625" style="1" hidden="1" customWidth="1"/>
    <col min="15" max="15" width="17.57421875" style="1" customWidth="1"/>
    <col min="16" max="16" width="14.8515625" style="1" customWidth="1"/>
    <col min="17" max="17" width="16.421875" style="1" customWidth="1"/>
    <col min="18" max="18" width="10.00390625" style="1" customWidth="1"/>
    <col min="19" max="19" width="9.140625" style="1" customWidth="1"/>
    <col min="20" max="20" width="11.7109375" style="1" bestFit="1" customWidth="1"/>
    <col min="21" max="21" width="11.7109375" style="1" customWidth="1"/>
    <col min="22" max="22" width="16.57421875" style="1" customWidth="1"/>
    <col min="23" max="24" width="9.140625" style="1" customWidth="1"/>
    <col min="25" max="25" width="14.57421875" style="1" customWidth="1"/>
    <col min="26" max="16384" width="9.140625" style="1" customWidth="1"/>
  </cols>
  <sheetData>
    <row r="1" spans="1:16" ht="12.75">
      <c r="A1" s="672" t="s">
        <v>414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</row>
    <row r="2" spans="1:16" ht="13.5" thickBot="1">
      <c r="A2" s="673" t="s">
        <v>415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</row>
    <row r="3" spans="1:18" ht="16.5" customHeight="1" thickTop="1">
      <c r="A3" s="666" t="s">
        <v>93</v>
      </c>
      <c r="B3" s="686" t="s">
        <v>94</v>
      </c>
      <c r="C3" s="668" t="s">
        <v>95</v>
      </c>
      <c r="D3" s="668" t="s">
        <v>96</v>
      </c>
      <c r="E3" s="668" t="s">
        <v>97</v>
      </c>
      <c r="F3" s="668" t="s">
        <v>98</v>
      </c>
      <c r="G3" s="668" t="s">
        <v>99</v>
      </c>
      <c r="H3" s="668" t="s">
        <v>100</v>
      </c>
      <c r="I3" s="668" t="s">
        <v>101</v>
      </c>
      <c r="J3" s="668" t="s">
        <v>102</v>
      </c>
      <c r="K3" s="668" t="s">
        <v>103</v>
      </c>
      <c r="L3" s="668" t="s">
        <v>104</v>
      </c>
      <c r="M3" s="668" t="s">
        <v>345</v>
      </c>
      <c r="N3" s="668" t="s">
        <v>376</v>
      </c>
      <c r="O3" s="668" t="s">
        <v>451</v>
      </c>
      <c r="P3" s="670" t="s">
        <v>422</v>
      </c>
      <c r="Q3" s="668" t="s">
        <v>519</v>
      </c>
      <c r="R3" s="682" t="s">
        <v>483</v>
      </c>
    </row>
    <row r="4" spans="1:18" ht="26.25" customHeight="1" thickBot="1">
      <c r="A4" s="667"/>
      <c r="B4" s="687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71"/>
      <c r="Q4" s="669"/>
      <c r="R4" s="683"/>
    </row>
    <row r="5" spans="1:18" ht="17.25" thickBot="1" thickTop="1">
      <c r="A5" s="3">
        <v>100</v>
      </c>
      <c r="B5" s="674" t="s">
        <v>107</v>
      </c>
      <c r="C5" s="675"/>
      <c r="D5" s="4">
        <f aca="true" t="shared" si="0" ref="D5:Q5">D6+D12+D17</f>
        <v>4005975</v>
      </c>
      <c r="E5" s="4">
        <f t="shared" si="0"/>
        <v>4409049</v>
      </c>
      <c r="F5" s="4">
        <f t="shared" si="0"/>
        <v>5183529</v>
      </c>
      <c r="G5" s="4">
        <f t="shared" si="0"/>
        <v>5169506</v>
      </c>
      <c r="H5" s="4">
        <f t="shared" si="0"/>
        <v>4342169</v>
      </c>
      <c r="I5" s="4">
        <f t="shared" si="0"/>
        <v>4854565</v>
      </c>
      <c r="J5" s="4">
        <f t="shared" si="0"/>
        <v>5209041</v>
      </c>
      <c r="K5" s="4">
        <f t="shared" si="0"/>
        <v>4997011</v>
      </c>
      <c r="L5" s="4">
        <f t="shared" si="0"/>
        <v>5140983.68</v>
      </c>
      <c r="M5" s="445">
        <f t="shared" si="0"/>
        <v>5807550.21</v>
      </c>
      <c r="N5" s="4">
        <f>N6+N12+N17</f>
        <v>6453363.550000001</v>
      </c>
      <c r="O5" s="4">
        <f>O6+O12+O17</f>
        <v>6809697.7700000005</v>
      </c>
      <c r="P5" s="422">
        <f>P6+P12+P17</f>
        <v>7236303</v>
      </c>
      <c r="Q5" s="613">
        <f t="shared" si="0"/>
        <v>7281076.170000001</v>
      </c>
      <c r="R5" s="580">
        <f aca="true" t="shared" si="1" ref="R5:R67">IF(P5=0,0,Q5/P5)*100</f>
        <v>100.61872989563871</v>
      </c>
    </row>
    <row r="6" spans="1:21" ht="15.75" thickBot="1">
      <c r="A6" s="5">
        <v>110</v>
      </c>
      <c r="B6" s="680" t="s">
        <v>108</v>
      </c>
      <c r="C6" s="681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aca="true" t="shared" si="2" ref="I6:Q6">I7</f>
        <v>4195159</v>
      </c>
      <c r="J6" s="7">
        <f t="shared" si="2"/>
        <v>4432132</v>
      </c>
      <c r="K6" s="7">
        <f t="shared" si="2"/>
        <v>4175784</v>
      </c>
      <c r="L6" s="7">
        <f t="shared" si="2"/>
        <v>4401458.42</v>
      </c>
      <c r="M6" s="446">
        <f t="shared" si="2"/>
        <v>5016805.1</v>
      </c>
      <c r="N6" s="7">
        <f t="shared" si="2"/>
        <v>5542925.66</v>
      </c>
      <c r="O6" s="7">
        <f t="shared" si="2"/>
        <v>5877883.03</v>
      </c>
      <c r="P6" s="423">
        <f t="shared" si="2"/>
        <v>6344853</v>
      </c>
      <c r="Q6" s="614">
        <f t="shared" si="2"/>
        <v>6368965.23</v>
      </c>
      <c r="R6" s="581">
        <f t="shared" si="1"/>
        <v>100.3800281897784</v>
      </c>
      <c r="U6" s="488"/>
    </row>
    <row r="7" spans="1:25" ht="13.5" thickBot="1">
      <c r="A7" s="689"/>
      <c r="B7" s="692"/>
      <c r="C7" s="405" t="s">
        <v>109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25">
        <v>5016805.1</v>
      </c>
      <c r="N7" s="12">
        <v>5542925.66</v>
      </c>
      <c r="O7" s="12">
        <v>5877883.03</v>
      </c>
      <c r="P7" s="12">
        <v>6344853</v>
      </c>
      <c r="Q7" s="484">
        <f>6366923.03+2042.2</f>
        <v>6368965.23</v>
      </c>
      <c r="R7" s="485">
        <f t="shared" si="1"/>
        <v>100.3800281897784</v>
      </c>
      <c r="W7" s="488"/>
      <c r="Y7" s="488"/>
    </row>
    <row r="8" spans="1:21" ht="13.5" hidden="1" thickBot="1">
      <c r="A8" s="690"/>
      <c r="B8" s="693"/>
      <c r="C8" s="114" t="s">
        <v>256</v>
      </c>
      <c r="D8" s="114"/>
      <c r="E8" s="114"/>
      <c r="F8" s="114"/>
      <c r="G8" s="114"/>
      <c r="H8" s="114"/>
      <c r="I8" s="77"/>
      <c r="J8" s="77"/>
      <c r="K8" s="126"/>
      <c r="L8" s="126"/>
      <c r="M8" s="181"/>
      <c r="N8" s="84"/>
      <c r="O8" s="84"/>
      <c r="P8" s="84"/>
      <c r="Q8" s="482"/>
      <c r="R8" s="483">
        <f t="shared" si="1"/>
        <v>0</v>
      </c>
      <c r="U8" s="488"/>
    </row>
    <row r="9" spans="1:19" ht="13.5" hidden="1" thickBot="1">
      <c r="A9" s="690"/>
      <c r="B9" s="693"/>
      <c r="C9" s="22" t="s">
        <v>106</v>
      </c>
      <c r="D9" s="22"/>
      <c r="E9" s="22"/>
      <c r="F9" s="22"/>
      <c r="G9" s="22"/>
      <c r="H9" s="22"/>
      <c r="I9" s="81"/>
      <c r="J9" s="81"/>
      <c r="K9" s="23"/>
      <c r="L9" s="23"/>
      <c r="M9" s="183"/>
      <c r="N9" s="24"/>
      <c r="O9" s="24"/>
      <c r="P9" s="24"/>
      <c r="Q9" s="478"/>
      <c r="R9" s="479">
        <f t="shared" si="1"/>
        <v>0</v>
      </c>
      <c r="S9" s="488"/>
    </row>
    <row r="10" spans="1:18" ht="13.5" hidden="1" thickBot="1">
      <c r="A10" s="690"/>
      <c r="B10" s="693"/>
      <c r="C10" s="22" t="s">
        <v>261</v>
      </c>
      <c r="D10" s="22"/>
      <c r="E10" s="22"/>
      <c r="F10" s="22"/>
      <c r="G10" s="22"/>
      <c r="H10" s="22"/>
      <c r="I10" s="81"/>
      <c r="J10" s="81"/>
      <c r="K10" s="23"/>
      <c r="L10" s="23"/>
      <c r="M10" s="183"/>
      <c r="N10" s="24"/>
      <c r="O10" s="24"/>
      <c r="P10" s="24"/>
      <c r="Q10" s="478"/>
      <c r="R10" s="479">
        <f t="shared" si="1"/>
        <v>0</v>
      </c>
    </row>
    <row r="11" spans="1:18" ht="13.5" hidden="1" thickBot="1">
      <c r="A11" s="691"/>
      <c r="B11" s="694"/>
      <c r="C11" s="25" t="s">
        <v>251</v>
      </c>
      <c r="D11" s="25"/>
      <c r="E11" s="25"/>
      <c r="F11" s="25"/>
      <c r="G11" s="25"/>
      <c r="H11" s="25"/>
      <c r="I11" s="253"/>
      <c r="J11" s="253"/>
      <c r="K11" s="254"/>
      <c r="L11" s="254"/>
      <c r="M11" s="230"/>
      <c r="N11" s="43"/>
      <c r="O11" s="43"/>
      <c r="P11" s="43"/>
      <c r="Q11" s="480"/>
      <c r="R11" s="481">
        <f t="shared" si="1"/>
        <v>0</v>
      </c>
    </row>
    <row r="12" spans="1:18" ht="15.75" thickBot="1">
      <c r="A12" s="28">
        <v>120</v>
      </c>
      <c r="B12" s="678" t="s">
        <v>110</v>
      </c>
      <c r="C12" s="679"/>
      <c r="D12" s="14">
        <f>D13</f>
        <v>295824</v>
      </c>
      <c r="E12" s="14">
        <f>E13</f>
        <v>311093</v>
      </c>
      <c r="F12" s="14">
        <f>F13</f>
        <v>361216</v>
      </c>
      <c r="G12" s="14">
        <f>G13</f>
        <v>341843</v>
      </c>
      <c r="H12" s="14">
        <v>316587</v>
      </c>
      <c r="I12" s="14">
        <f aca="true" t="shared" si="3" ref="I12:Q12">I13</f>
        <v>360438</v>
      </c>
      <c r="J12" s="14">
        <f t="shared" si="3"/>
        <v>460690</v>
      </c>
      <c r="K12" s="14">
        <f t="shared" si="3"/>
        <v>388905</v>
      </c>
      <c r="L12" s="14">
        <f t="shared" si="3"/>
        <v>335641.24</v>
      </c>
      <c r="M12" s="227">
        <f t="shared" si="3"/>
        <v>396789.44</v>
      </c>
      <c r="N12" s="14">
        <f t="shared" si="3"/>
        <v>470206.4</v>
      </c>
      <c r="O12" s="14">
        <f t="shared" si="3"/>
        <v>490398.24</v>
      </c>
      <c r="P12" s="424">
        <f>P13</f>
        <v>468000</v>
      </c>
      <c r="Q12" s="615">
        <f t="shared" si="3"/>
        <v>477910.94</v>
      </c>
      <c r="R12" s="568">
        <f t="shared" si="1"/>
        <v>102.11772222222221</v>
      </c>
    </row>
    <row r="13" spans="1:18" ht="13.5" thickBot="1">
      <c r="A13" s="695"/>
      <c r="B13" s="8">
        <v>121</v>
      </c>
      <c r="C13" s="15" t="s">
        <v>111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f aca="true" t="shared" si="4" ref="I13:P13">SUM(I14:I16)</f>
        <v>360438</v>
      </c>
      <c r="J13" s="16">
        <f t="shared" si="4"/>
        <v>460690</v>
      </c>
      <c r="K13" s="16">
        <f t="shared" si="4"/>
        <v>388905</v>
      </c>
      <c r="L13" s="16">
        <f t="shared" si="4"/>
        <v>335641.24</v>
      </c>
      <c r="M13" s="132">
        <f t="shared" si="4"/>
        <v>396789.44</v>
      </c>
      <c r="N13" s="16">
        <f>SUM(N14:N16)</f>
        <v>470206.4</v>
      </c>
      <c r="O13" s="16">
        <f>SUM(O14:O16)</f>
        <v>490398.24</v>
      </c>
      <c r="P13" s="428">
        <f t="shared" si="4"/>
        <v>468000</v>
      </c>
      <c r="Q13" s="616">
        <f>SUM(Q14:Q16)</f>
        <v>477910.94</v>
      </c>
      <c r="R13" s="582">
        <f t="shared" si="1"/>
        <v>102.11772222222221</v>
      </c>
    </row>
    <row r="14" spans="1:18" ht="12.75">
      <c r="A14" s="696"/>
      <c r="B14" s="663"/>
      <c r="C14" s="18" t="s">
        <v>112</v>
      </c>
      <c r="D14" s="19"/>
      <c r="E14" s="19"/>
      <c r="F14" s="19"/>
      <c r="G14" s="19"/>
      <c r="H14" s="19">
        <v>51780</v>
      </c>
      <c r="I14" s="19">
        <v>67186</v>
      </c>
      <c r="J14" s="20">
        <v>71840</v>
      </c>
      <c r="K14" s="20">
        <v>90890</v>
      </c>
      <c r="L14" s="20">
        <v>64647.11</v>
      </c>
      <c r="M14" s="105">
        <v>92446.08</v>
      </c>
      <c r="N14" s="21">
        <v>110741.25</v>
      </c>
      <c r="O14" s="21">
        <v>116438.65</v>
      </c>
      <c r="P14" s="21">
        <v>110000</v>
      </c>
      <c r="Q14" s="482">
        <v>113964.55</v>
      </c>
      <c r="R14" s="483">
        <f t="shared" si="1"/>
        <v>103.60413636363637</v>
      </c>
    </row>
    <row r="15" spans="1:18" ht="12.75">
      <c r="A15" s="696"/>
      <c r="B15" s="664"/>
      <c r="C15" s="22" t="s">
        <v>113</v>
      </c>
      <c r="D15" s="22"/>
      <c r="E15" s="22"/>
      <c r="F15" s="22"/>
      <c r="G15" s="22"/>
      <c r="H15" s="22">
        <v>234536</v>
      </c>
      <c r="I15" s="22">
        <v>264067</v>
      </c>
      <c r="J15" s="23">
        <v>359760</v>
      </c>
      <c r="K15" s="23">
        <v>267120</v>
      </c>
      <c r="L15" s="23">
        <v>239509.09</v>
      </c>
      <c r="M15" s="183">
        <v>271513.31</v>
      </c>
      <c r="N15" s="24">
        <v>321276.38</v>
      </c>
      <c r="O15" s="24">
        <v>334608.07</v>
      </c>
      <c r="P15" s="24">
        <v>320000</v>
      </c>
      <c r="Q15" s="478">
        <v>324799.75</v>
      </c>
      <c r="R15" s="479">
        <f t="shared" si="1"/>
        <v>101.49992187500001</v>
      </c>
    </row>
    <row r="16" spans="1:18" ht="13.5" thickBot="1">
      <c r="A16" s="697"/>
      <c r="B16" s="665"/>
      <c r="C16" s="25" t="s">
        <v>114</v>
      </c>
      <c r="D16" s="25"/>
      <c r="E16" s="25"/>
      <c r="F16" s="25"/>
      <c r="G16" s="25"/>
      <c r="H16" s="25">
        <v>30271</v>
      </c>
      <c r="I16" s="25">
        <v>29185</v>
      </c>
      <c r="J16" s="26">
        <v>29090</v>
      </c>
      <c r="K16" s="26">
        <v>30895</v>
      </c>
      <c r="L16" s="26">
        <v>31485.04</v>
      </c>
      <c r="M16" s="201">
        <v>32830.05</v>
      </c>
      <c r="N16" s="27">
        <v>38188.77</v>
      </c>
      <c r="O16" s="27">
        <v>39351.52</v>
      </c>
      <c r="P16" s="27">
        <v>38000</v>
      </c>
      <c r="Q16" s="480">
        <v>39146.64</v>
      </c>
      <c r="R16" s="481">
        <f t="shared" si="1"/>
        <v>103.01747368421053</v>
      </c>
    </row>
    <row r="17" spans="1:18" ht="15.75" thickBot="1">
      <c r="A17" s="28">
        <v>130</v>
      </c>
      <c r="B17" s="678" t="s">
        <v>115</v>
      </c>
      <c r="C17" s="679"/>
      <c r="D17" s="14">
        <f>D18</f>
        <v>369216</v>
      </c>
      <c r="E17" s="14">
        <f>E18</f>
        <v>379141</v>
      </c>
      <c r="F17" s="14">
        <f>F18</f>
        <v>269468</v>
      </c>
      <c r="G17" s="14">
        <f>G18</f>
        <v>290540</v>
      </c>
      <c r="H17" s="14">
        <f>H18</f>
        <v>298666</v>
      </c>
      <c r="I17" s="14">
        <f aca="true" t="shared" si="5" ref="I17:Q17">I18</f>
        <v>298968</v>
      </c>
      <c r="J17" s="14">
        <f t="shared" si="5"/>
        <v>316219</v>
      </c>
      <c r="K17" s="14">
        <f t="shared" si="5"/>
        <v>432322</v>
      </c>
      <c r="L17" s="14">
        <f t="shared" si="5"/>
        <v>403884.02</v>
      </c>
      <c r="M17" s="227">
        <f t="shared" si="5"/>
        <v>393955.67</v>
      </c>
      <c r="N17" s="14">
        <f t="shared" si="5"/>
        <v>440231.49</v>
      </c>
      <c r="O17" s="14">
        <f t="shared" si="5"/>
        <v>441416.5</v>
      </c>
      <c r="P17" s="424">
        <f t="shared" si="5"/>
        <v>423450</v>
      </c>
      <c r="Q17" s="615">
        <f t="shared" si="5"/>
        <v>434200</v>
      </c>
      <c r="R17" s="568">
        <f t="shared" si="1"/>
        <v>102.5386704451529</v>
      </c>
    </row>
    <row r="18" spans="1:18" ht="13.5" thickBot="1">
      <c r="A18" s="660"/>
      <c r="B18" s="29">
        <v>133</v>
      </c>
      <c r="C18" s="30" t="s">
        <v>116</v>
      </c>
      <c r="D18" s="31">
        <v>369216</v>
      </c>
      <c r="E18" s="31">
        <v>379141</v>
      </c>
      <c r="F18" s="31">
        <v>269468</v>
      </c>
      <c r="G18" s="31">
        <v>290540</v>
      </c>
      <c r="H18" s="32">
        <f aca="true" t="shared" si="6" ref="H18:M18">SUM(H19:H25)</f>
        <v>298666</v>
      </c>
      <c r="I18" s="32">
        <f t="shared" si="6"/>
        <v>298968</v>
      </c>
      <c r="J18" s="33">
        <f t="shared" si="6"/>
        <v>316219</v>
      </c>
      <c r="K18" s="33">
        <f t="shared" si="6"/>
        <v>432322</v>
      </c>
      <c r="L18" s="33">
        <f>SUM(L19:L25)</f>
        <v>403884.02</v>
      </c>
      <c r="M18" s="300">
        <f t="shared" si="6"/>
        <v>393955.67</v>
      </c>
      <c r="N18" s="33">
        <f>SUM(N19:N25)</f>
        <v>440231.49</v>
      </c>
      <c r="O18" s="33">
        <f>SUM(O19:O25)</f>
        <v>441416.5</v>
      </c>
      <c r="P18" s="113">
        <f>SUM(P19:P25)</f>
        <v>423450</v>
      </c>
      <c r="Q18" s="464">
        <f>SUM(Q19:Q25)</f>
        <v>434200</v>
      </c>
      <c r="R18" s="574">
        <f t="shared" si="1"/>
        <v>102.5386704451529</v>
      </c>
    </row>
    <row r="19" spans="1:19" ht="12.75">
      <c r="A19" s="661"/>
      <c r="B19" s="657"/>
      <c r="C19" s="36" t="s">
        <v>117</v>
      </c>
      <c r="D19" s="36"/>
      <c r="E19" s="36"/>
      <c r="F19" s="36"/>
      <c r="G19" s="36"/>
      <c r="H19" s="36">
        <v>7752</v>
      </c>
      <c r="I19" s="37">
        <v>7713</v>
      </c>
      <c r="J19" s="21">
        <v>7990</v>
      </c>
      <c r="K19" s="21">
        <v>9276</v>
      </c>
      <c r="L19" s="21">
        <v>9178.11</v>
      </c>
      <c r="M19" s="105">
        <v>9228.06</v>
      </c>
      <c r="N19" s="21">
        <v>12166.42</v>
      </c>
      <c r="O19" s="21">
        <v>11448.4</v>
      </c>
      <c r="P19" s="21">
        <v>11000</v>
      </c>
      <c r="Q19" s="482">
        <v>11685.91</v>
      </c>
      <c r="R19" s="483">
        <f t="shared" si="1"/>
        <v>106.23554545454546</v>
      </c>
      <c r="S19" s="488"/>
    </row>
    <row r="20" spans="1:21" ht="12.75">
      <c r="A20" s="661"/>
      <c r="B20" s="658"/>
      <c r="C20" s="38" t="s">
        <v>118</v>
      </c>
      <c r="D20" s="38"/>
      <c r="E20" s="38"/>
      <c r="F20" s="38"/>
      <c r="G20" s="38"/>
      <c r="H20" s="38">
        <v>532</v>
      </c>
      <c r="I20" s="39">
        <v>732</v>
      </c>
      <c r="J20" s="24">
        <v>732</v>
      </c>
      <c r="K20" s="24">
        <v>749</v>
      </c>
      <c r="L20" s="24">
        <v>300</v>
      </c>
      <c r="M20" s="183">
        <v>300</v>
      </c>
      <c r="N20" s="24">
        <v>632</v>
      </c>
      <c r="O20" s="24">
        <v>398.66</v>
      </c>
      <c r="P20" s="24">
        <v>300</v>
      </c>
      <c r="Q20" s="478">
        <v>332</v>
      </c>
      <c r="R20" s="479">
        <f t="shared" si="1"/>
        <v>110.66666666666667</v>
      </c>
      <c r="U20" s="488"/>
    </row>
    <row r="21" spans="1:18" ht="12.75">
      <c r="A21" s="661"/>
      <c r="B21" s="658"/>
      <c r="C21" s="38" t="s">
        <v>119</v>
      </c>
      <c r="D21" s="38"/>
      <c r="E21" s="38"/>
      <c r="F21" s="38"/>
      <c r="G21" s="38"/>
      <c r="H21" s="38">
        <v>700</v>
      </c>
      <c r="I21" s="39">
        <v>750</v>
      </c>
      <c r="J21" s="24">
        <v>750</v>
      </c>
      <c r="K21" s="24">
        <v>725</v>
      </c>
      <c r="L21" s="24">
        <v>650</v>
      </c>
      <c r="M21" s="183">
        <v>679.15</v>
      </c>
      <c r="N21" s="24">
        <v>691.66</v>
      </c>
      <c r="O21" s="24">
        <v>875</v>
      </c>
      <c r="P21" s="24">
        <v>650</v>
      </c>
      <c r="Q21" s="478">
        <v>1190</v>
      </c>
      <c r="R21" s="479">
        <f t="shared" si="1"/>
        <v>183.07692307692307</v>
      </c>
    </row>
    <row r="22" spans="1:21" ht="12.75">
      <c r="A22" s="661"/>
      <c r="B22" s="658"/>
      <c r="C22" s="38" t="s">
        <v>120</v>
      </c>
      <c r="D22" s="38"/>
      <c r="E22" s="38"/>
      <c r="F22" s="38"/>
      <c r="G22" s="38"/>
      <c r="H22" s="38">
        <v>12441</v>
      </c>
      <c r="I22" s="39">
        <v>12101</v>
      </c>
      <c r="J22" s="24">
        <v>14430</v>
      </c>
      <c r="K22" s="24">
        <v>12793</v>
      </c>
      <c r="L22" s="24">
        <v>13503.5</v>
      </c>
      <c r="M22" s="183">
        <v>13052</v>
      </c>
      <c r="N22" s="24">
        <v>12555.5</v>
      </c>
      <c r="O22" s="24">
        <v>12857.5</v>
      </c>
      <c r="P22" s="24">
        <v>12500</v>
      </c>
      <c r="Q22" s="478">
        <v>13737</v>
      </c>
      <c r="R22" s="479">
        <f t="shared" si="1"/>
        <v>109.89599999999999</v>
      </c>
      <c r="U22" s="488"/>
    </row>
    <row r="23" spans="1:23" ht="12.75">
      <c r="A23" s="661"/>
      <c r="B23" s="658"/>
      <c r="C23" s="38" t="s">
        <v>121</v>
      </c>
      <c r="D23" s="38"/>
      <c r="E23" s="38"/>
      <c r="F23" s="38"/>
      <c r="G23" s="38"/>
      <c r="H23" s="38">
        <v>28263</v>
      </c>
      <c r="I23" s="39">
        <v>29878</v>
      </c>
      <c r="J23" s="24">
        <v>31474</v>
      </c>
      <c r="K23" s="24">
        <v>37978</v>
      </c>
      <c r="L23" s="24">
        <v>32751.27</v>
      </c>
      <c r="M23" s="183">
        <v>29179.68</v>
      </c>
      <c r="N23" s="24">
        <v>32177.92</v>
      </c>
      <c r="O23" s="24">
        <v>25859.559999999998</v>
      </c>
      <c r="P23" s="24">
        <v>24000</v>
      </c>
      <c r="Q23" s="478">
        <f>18715.28+12165</f>
        <v>30880.28</v>
      </c>
      <c r="R23" s="479">
        <f t="shared" si="1"/>
        <v>128.66783333333333</v>
      </c>
      <c r="W23" s="488"/>
    </row>
    <row r="24" spans="1:18" ht="12.75">
      <c r="A24" s="661"/>
      <c r="B24" s="658"/>
      <c r="C24" s="38" t="s">
        <v>122</v>
      </c>
      <c r="D24" s="38"/>
      <c r="E24" s="38"/>
      <c r="F24" s="38"/>
      <c r="G24" s="38"/>
      <c r="H24" s="38">
        <v>162034</v>
      </c>
      <c r="I24" s="39">
        <f>159378+2395</f>
        <v>161773</v>
      </c>
      <c r="J24" s="24">
        <v>174176</v>
      </c>
      <c r="K24" s="24">
        <f>265321+3376</f>
        <v>268697</v>
      </c>
      <c r="L24" s="24">
        <v>243006.26</v>
      </c>
      <c r="M24" s="183">
        <v>240323.78</v>
      </c>
      <c r="N24" s="24">
        <v>255051.03999999998</v>
      </c>
      <c r="O24" s="24">
        <v>252273.77000000002</v>
      </c>
      <c r="P24" s="24">
        <v>250000</v>
      </c>
      <c r="Q24" s="478">
        <f>4220.65+3890.82+227577.11</f>
        <v>235688.58</v>
      </c>
      <c r="R24" s="479">
        <f t="shared" si="1"/>
        <v>94.275432</v>
      </c>
    </row>
    <row r="25" spans="1:22" ht="13.5" thickBot="1">
      <c r="A25" s="662"/>
      <c r="B25" s="659"/>
      <c r="C25" s="41" t="s">
        <v>123</v>
      </c>
      <c r="D25" s="42"/>
      <c r="E25" s="42"/>
      <c r="F25" s="42"/>
      <c r="G25" s="42"/>
      <c r="H25" s="42">
        <v>86944</v>
      </c>
      <c r="I25" s="39">
        <v>86021</v>
      </c>
      <c r="J25" s="43">
        <v>86667</v>
      </c>
      <c r="K25" s="43">
        <v>102104</v>
      </c>
      <c r="L25" s="43">
        <v>104494.88</v>
      </c>
      <c r="M25" s="230">
        <v>101193</v>
      </c>
      <c r="N25" s="43">
        <v>126956.95</v>
      </c>
      <c r="O25" s="43">
        <v>137703.61</v>
      </c>
      <c r="P25" s="43">
        <v>125000</v>
      </c>
      <c r="Q25" s="480">
        <v>140686.23</v>
      </c>
      <c r="R25" s="481">
        <f t="shared" si="1"/>
        <v>112.54898400000002</v>
      </c>
      <c r="V25" s="488"/>
    </row>
    <row r="26" spans="1:20" ht="16.5" thickBot="1">
      <c r="A26" s="44">
        <v>200</v>
      </c>
      <c r="B26" s="703" t="s">
        <v>124</v>
      </c>
      <c r="C26" s="704"/>
      <c r="D26" s="45">
        <f>D27+D40+D59+D61</f>
        <v>1277767</v>
      </c>
      <c r="E26" s="45">
        <f>E27+E40+E59+E61</f>
        <v>1153090</v>
      </c>
      <c r="F26" s="45">
        <f>F27+F40+F59+F61</f>
        <v>1821583</v>
      </c>
      <c r="G26" s="45">
        <f>G27+G40+G59+G61</f>
        <v>1266222</v>
      </c>
      <c r="H26" s="45">
        <v>1215651</v>
      </c>
      <c r="I26" s="45">
        <f aca="true" t="shared" si="7" ref="I26:Q26">I27+I40+I59+I61</f>
        <v>1492638</v>
      </c>
      <c r="J26" s="45">
        <f t="shared" si="7"/>
        <v>1090799</v>
      </c>
      <c r="K26" s="45">
        <f t="shared" si="7"/>
        <v>1258962</v>
      </c>
      <c r="L26" s="45">
        <f t="shared" si="7"/>
        <v>1049268.01</v>
      </c>
      <c r="M26" s="447">
        <f t="shared" si="7"/>
        <v>1119583.28</v>
      </c>
      <c r="N26" s="45">
        <f t="shared" si="7"/>
        <v>1113252.36</v>
      </c>
      <c r="O26" s="45">
        <f t="shared" si="7"/>
        <v>1054445.69</v>
      </c>
      <c r="P26" s="425">
        <f t="shared" si="7"/>
        <v>1432649</v>
      </c>
      <c r="Q26" s="617">
        <f t="shared" si="7"/>
        <v>1433521.3099999998</v>
      </c>
      <c r="R26" s="583">
        <f t="shared" si="1"/>
        <v>100.0608879076452</v>
      </c>
      <c r="T26" s="539"/>
    </row>
    <row r="27" spans="1:18" ht="15.75" thickBot="1">
      <c r="A27" s="46">
        <v>210</v>
      </c>
      <c r="B27" s="680" t="s">
        <v>125</v>
      </c>
      <c r="C27" s="688"/>
      <c r="D27" s="47">
        <f>D28+D32</f>
        <v>873233</v>
      </c>
      <c r="E27" s="47">
        <f>E28+E32</f>
        <v>794430</v>
      </c>
      <c r="F27" s="47">
        <f>F28+F32</f>
        <v>1059517</v>
      </c>
      <c r="G27" s="47">
        <f>G28+G32</f>
        <v>810580</v>
      </c>
      <c r="H27" s="47">
        <v>598394</v>
      </c>
      <c r="I27" s="47">
        <f aca="true" t="shared" si="8" ref="I27:Q27">I28+I32</f>
        <v>741364</v>
      </c>
      <c r="J27" s="47">
        <f t="shared" si="8"/>
        <v>560834</v>
      </c>
      <c r="K27" s="47">
        <f t="shared" si="8"/>
        <v>650004</v>
      </c>
      <c r="L27" s="47">
        <f>L28+L32</f>
        <v>379467.55</v>
      </c>
      <c r="M27" s="448">
        <f t="shared" si="8"/>
        <v>418308.61</v>
      </c>
      <c r="N27" s="47">
        <f>N28+N32</f>
        <v>461210.13</v>
      </c>
      <c r="O27" s="47">
        <f>O28+O32</f>
        <v>442510.63</v>
      </c>
      <c r="P27" s="426">
        <f t="shared" si="8"/>
        <v>515888</v>
      </c>
      <c r="Q27" s="618">
        <f t="shared" si="8"/>
        <v>507429.88</v>
      </c>
      <c r="R27" s="584">
        <f t="shared" si="1"/>
        <v>98.36047359116708</v>
      </c>
    </row>
    <row r="28" spans="1:20" ht="13.5" thickBot="1">
      <c r="A28" s="660" t="s">
        <v>126</v>
      </c>
      <c r="B28" s="8">
        <v>211</v>
      </c>
      <c r="C28" s="48" t="s">
        <v>125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3">
        <f aca="true" t="shared" si="9" ref="I28:Q28">SUM(I29:I31)</f>
        <v>29084</v>
      </c>
      <c r="J28" s="33">
        <f t="shared" si="9"/>
        <v>47000</v>
      </c>
      <c r="K28" s="33">
        <f t="shared" si="9"/>
        <v>58181</v>
      </c>
      <c r="L28" s="33">
        <f>SUM(L29:L31)</f>
        <v>20000</v>
      </c>
      <c r="M28" s="33">
        <f t="shared" si="9"/>
        <v>15000</v>
      </c>
      <c r="N28" s="33">
        <f t="shared" si="9"/>
        <v>24000</v>
      </c>
      <c r="O28" s="33">
        <f>SUM(O29:O31)</f>
        <v>11000</v>
      </c>
      <c r="P28" s="113">
        <f t="shared" si="9"/>
        <v>12500</v>
      </c>
      <c r="Q28" s="464">
        <f t="shared" si="9"/>
        <v>12500</v>
      </c>
      <c r="R28" s="574">
        <f t="shared" si="1"/>
        <v>100</v>
      </c>
      <c r="T28" s="488"/>
    </row>
    <row r="29" spans="1:18" ht="12.75" hidden="1">
      <c r="A29" s="661"/>
      <c r="B29" s="663"/>
      <c r="C29" s="49" t="s">
        <v>127</v>
      </c>
      <c r="D29" s="50"/>
      <c r="E29" s="50"/>
      <c r="F29" s="50"/>
      <c r="G29" s="50"/>
      <c r="H29" s="50"/>
      <c r="I29" s="50"/>
      <c r="J29" s="50"/>
      <c r="K29" s="51"/>
      <c r="L29" s="21"/>
      <c r="M29" s="21"/>
      <c r="N29" s="21"/>
      <c r="O29" s="21"/>
      <c r="P29" s="21"/>
      <c r="Q29" s="482"/>
      <c r="R29" s="483">
        <f t="shared" si="1"/>
        <v>0</v>
      </c>
    </row>
    <row r="30" spans="1:18" ht="12.75" hidden="1">
      <c r="A30" s="661"/>
      <c r="B30" s="664"/>
      <c r="C30" s="52" t="s">
        <v>128</v>
      </c>
      <c r="D30" s="52"/>
      <c r="E30" s="52"/>
      <c r="F30" s="52"/>
      <c r="G30" s="52"/>
      <c r="H30" s="52"/>
      <c r="I30" s="52"/>
      <c r="J30" s="52"/>
      <c r="K30" s="39"/>
      <c r="L30" s="24"/>
      <c r="M30" s="24"/>
      <c r="N30" s="24"/>
      <c r="O30" s="24"/>
      <c r="P30" s="24"/>
      <c r="Q30" s="478"/>
      <c r="R30" s="479">
        <f t="shared" si="1"/>
        <v>0</v>
      </c>
    </row>
    <row r="31" spans="1:18" ht="13.5" thickBot="1">
      <c r="A31" s="661"/>
      <c r="B31" s="665"/>
      <c r="C31" s="53" t="s">
        <v>129</v>
      </c>
      <c r="D31" s="53"/>
      <c r="E31" s="53"/>
      <c r="F31" s="53"/>
      <c r="G31" s="53"/>
      <c r="H31" s="53"/>
      <c r="I31" s="53">
        <v>29084</v>
      </c>
      <c r="J31" s="53">
        <v>47000</v>
      </c>
      <c r="K31" s="54">
        <v>58181</v>
      </c>
      <c r="L31" s="27">
        <v>20000</v>
      </c>
      <c r="M31" s="27">
        <v>15000</v>
      </c>
      <c r="N31" s="27">
        <v>24000</v>
      </c>
      <c r="O31" s="27">
        <v>11000</v>
      </c>
      <c r="P31" s="27">
        <v>12500</v>
      </c>
      <c r="Q31" s="480">
        <v>12500</v>
      </c>
      <c r="R31" s="481">
        <f t="shared" si="1"/>
        <v>100</v>
      </c>
    </row>
    <row r="32" spans="1:18" ht="13.5" thickBot="1">
      <c r="A32" s="661"/>
      <c r="B32" s="55">
        <v>212</v>
      </c>
      <c r="C32" s="56" t="s">
        <v>130</v>
      </c>
      <c r="D32" s="57">
        <f>SUM(D33:D39)</f>
        <v>779991</v>
      </c>
      <c r="E32" s="57">
        <f>SUM(E33:E39)</f>
        <v>770729</v>
      </c>
      <c r="F32" s="57">
        <f>SUM(F33:F39)</f>
        <v>1008166</v>
      </c>
      <c r="G32" s="57">
        <f>SUM(G33:G39)</f>
        <v>771758</v>
      </c>
      <c r="H32" s="57">
        <v>532342</v>
      </c>
      <c r="I32" s="57">
        <f aca="true" t="shared" si="10" ref="I32:Q32">SUM(I33:I39)</f>
        <v>712280</v>
      </c>
      <c r="J32" s="57">
        <f t="shared" si="10"/>
        <v>513834</v>
      </c>
      <c r="K32" s="58">
        <f t="shared" si="10"/>
        <v>591823</v>
      </c>
      <c r="L32" s="58">
        <f t="shared" si="10"/>
        <v>359467.55</v>
      </c>
      <c r="M32" s="138">
        <f t="shared" si="10"/>
        <v>403308.61</v>
      </c>
      <c r="N32" s="58">
        <f t="shared" si="10"/>
        <v>437210.13</v>
      </c>
      <c r="O32" s="58">
        <f t="shared" si="10"/>
        <v>431510.63</v>
      </c>
      <c r="P32" s="87">
        <f t="shared" si="10"/>
        <v>503388</v>
      </c>
      <c r="Q32" s="124">
        <f t="shared" si="10"/>
        <v>494929.88</v>
      </c>
      <c r="R32" s="125">
        <f t="shared" si="1"/>
        <v>98.3197612974485</v>
      </c>
    </row>
    <row r="33" spans="1:18" ht="12.75">
      <c r="A33" s="661"/>
      <c r="B33" s="657"/>
      <c r="C33" s="49" t="s">
        <v>131</v>
      </c>
      <c r="D33" s="49">
        <v>751610</v>
      </c>
      <c r="E33" s="49">
        <v>750249</v>
      </c>
      <c r="F33" s="49">
        <v>649539</v>
      </c>
      <c r="G33" s="49">
        <v>427233</v>
      </c>
      <c r="H33" s="49">
        <v>348791</v>
      </c>
      <c r="I33" s="49">
        <v>510884</v>
      </c>
      <c r="J33" s="49">
        <v>324320</v>
      </c>
      <c r="K33" s="21">
        <v>401050</v>
      </c>
      <c r="L33" s="21">
        <v>135673.06</v>
      </c>
      <c r="M33" s="105">
        <v>134183.87</v>
      </c>
      <c r="N33" s="21">
        <v>87968.33</v>
      </c>
      <c r="O33" s="21">
        <v>71077.13</v>
      </c>
      <c r="P33" s="21">
        <v>95851</v>
      </c>
      <c r="Q33" s="105">
        <f>70744.37+4342+43064</f>
        <v>118150.37</v>
      </c>
      <c r="R33" s="127">
        <f t="shared" si="1"/>
        <v>123.26461904414143</v>
      </c>
    </row>
    <row r="34" spans="1:18" ht="12.75">
      <c r="A34" s="661"/>
      <c r="B34" s="658"/>
      <c r="C34" s="52" t="s">
        <v>132</v>
      </c>
      <c r="D34" s="52">
        <v>6108</v>
      </c>
      <c r="E34" s="52">
        <v>5709</v>
      </c>
      <c r="F34" s="52">
        <v>5809</v>
      </c>
      <c r="G34" s="52">
        <v>7235</v>
      </c>
      <c r="H34" s="52">
        <v>7034</v>
      </c>
      <c r="I34" s="52">
        <v>6012</v>
      </c>
      <c r="J34" s="52">
        <v>5150</v>
      </c>
      <c r="K34" s="24">
        <v>5043</v>
      </c>
      <c r="L34" s="24">
        <v>6242.35</v>
      </c>
      <c r="M34" s="183">
        <v>8075.84</v>
      </c>
      <c r="N34" s="24">
        <v>8856.86</v>
      </c>
      <c r="O34" s="24">
        <v>10889.6</v>
      </c>
      <c r="P34" s="24">
        <v>11000</v>
      </c>
      <c r="Q34" s="183">
        <f>12312.52+3269</f>
        <v>15581.52</v>
      </c>
      <c r="R34" s="119">
        <f t="shared" si="1"/>
        <v>141.65018181818184</v>
      </c>
    </row>
    <row r="35" spans="1:18" ht="12.75">
      <c r="A35" s="661"/>
      <c r="B35" s="658"/>
      <c r="C35" s="59" t="s">
        <v>133</v>
      </c>
      <c r="D35" s="59"/>
      <c r="E35" s="59"/>
      <c r="F35" s="59"/>
      <c r="G35" s="59"/>
      <c r="H35" s="59"/>
      <c r="I35" s="59"/>
      <c r="J35" s="59"/>
      <c r="K35" s="27">
        <v>0</v>
      </c>
      <c r="L35" s="27">
        <v>41494.18</v>
      </c>
      <c r="M35" s="201">
        <v>46671.58</v>
      </c>
      <c r="N35" s="27">
        <v>82406.4</v>
      </c>
      <c r="O35" s="27">
        <v>98976.09</v>
      </c>
      <c r="P35" s="27">
        <v>145198</v>
      </c>
      <c r="Q35" s="201">
        <v>127041.24</v>
      </c>
      <c r="R35" s="585">
        <f t="shared" si="1"/>
        <v>87.49517210980868</v>
      </c>
    </row>
    <row r="36" spans="1:18" ht="12.75">
      <c r="A36" s="661"/>
      <c r="B36" s="658"/>
      <c r="C36" s="59" t="s">
        <v>225</v>
      </c>
      <c r="D36" s="59"/>
      <c r="E36" s="59"/>
      <c r="F36" s="59"/>
      <c r="G36" s="59"/>
      <c r="H36" s="59"/>
      <c r="I36" s="59"/>
      <c r="J36" s="59"/>
      <c r="K36" s="27"/>
      <c r="L36" s="27"/>
      <c r="M36" s="201"/>
      <c r="N36" s="27">
        <v>19383.83</v>
      </c>
      <c r="O36" s="27">
        <v>32459.84</v>
      </c>
      <c r="P36" s="27">
        <v>19039</v>
      </c>
      <c r="Q36" s="201">
        <v>37761.7</v>
      </c>
      <c r="R36" s="585">
        <f t="shared" si="1"/>
        <v>198.33867324964544</v>
      </c>
    </row>
    <row r="37" spans="1:18" ht="12.75" hidden="1">
      <c r="A37" s="661"/>
      <c r="B37" s="658"/>
      <c r="C37" s="59"/>
      <c r="D37" s="59"/>
      <c r="E37" s="59"/>
      <c r="F37" s="59"/>
      <c r="G37" s="59"/>
      <c r="H37" s="59"/>
      <c r="I37" s="59"/>
      <c r="J37" s="59"/>
      <c r="K37" s="27"/>
      <c r="L37" s="27"/>
      <c r="M37" s="201"/>
      <c r="N37" s="27">
        <v>10094.75</v>
      </c>
      <c r="O37" s="27">
        <v>3927.1</v>
      </c>
      <c r="P37" s="27"/>
      <c r="Q37" s="201"/>
      <c r="R37" s="585">
        <f t="shared" si="1"/>
        <v>0</v>
      </c>
    </row>
    <row r="38" spans="1:18" ht="12.75">
      <c r="A38" s="661"/>
      <c r="B38" s="658"/>
      <c r="C38" s="59" t="s">
        <v>226</v>
      </c>
      <c r="D38" s="59"/>
      <c r="E38" s="59">
        <v>0</v>
      </c>
      <c r="F38" s="59">
        <v>339806</v>
      </c>
      <c r="G38" s="59">
        <v>322656</v>
      </c>
      <c r="H38" s="59">
        <v>92953</v>
      </c>
      <c r="I38" s="59">
        <v>100909</v>
      </c>
      <c r="J38" s="59">
        <v>83511</v>
      </c>
      <c r="K38" s="27">
        <f>77287+178+128</f>
        <v>77593</v>
      </c>
      <c r="L38" s="27">
        <v>80654.7</v>
      </c>
      <c r="M38" s="201">
        <v>77194.39</v>
      </c>
      <c r="N38" s="27">
        <v>75486.59</v>
      </c>
      <c r="O38" s="27">
        <v>75089.34</v>
      </c>
      <c r="P38" s="27">
        <v>76958</v>
      </c>
      <c r="Q38" s="201">
        <f>58412.39</f>
        <v>58412.39</v>
      </c>
      <c r="R38" s="585">
        <f t="shared" si="1"/>
        <v>75.90164765196602</v>
      </c>
    </row>
    <row r="39" spans="1:18" ht="13.5" thickBot="1">
      <c r="A39" s="662"/>
      <c r="B39" s="659"/>
      <c r="C39" s="53" t="s">
        <v>134</v>
      </c>
      <c r="D39" s="53">
        <v>22273</v>
      </c>
      <c r="E39" s="53">
        <v>14771</v>
      </c>
      <c r="F39" s="53">
        <v>13012</v>
      </c>
      <c r="G39" s="53">
        <v>14634</v>
      </c>
      <c r="H39" s="53">
        <v>83564</v>
      </c>
      <c r="I39" s="53">
        <v>94475</v>
      </c>
      <c r="J39" s="53">
        <v>100853</v>
      </c>
      <c r="K39" s="27">
        <v>108137</v>
      </c>
      <c r="L39" s="27">
        <v>95403.26</v>
      </c>
      <c r="M39" s="201">
        <v>137182.93</v>
      </c>
      <c r="N39" s="27">
        <v>153013.37000000002</v>
      </c>
      <c r="O39" s="27">
        <v>139091.53</v>
      </c>
      <c r="P39" s="27">
        <v>155342</v>
      </c>
      <c r="Q39" s="201">
        <f>137787.97+145.88+48.81</f>
        <v>137982.66</v>
      </c>
      <c r="R39" s="585">
        <f t="shared" si="1"/>
        <v>88.82508272070658</v>
      </c>
    </row>
    <row r="40" spans="1:18" ht="15.75" thickBot="1">
      <c r="A40" s="28">
        <v>220</v>
      </c>
      <c r="B40" s="680" t="s">
        <v>135</v>
      </c>
      <c r="C40" s="688"/>
      <c r="D40" s="60">
        <f aca="true" t="shared" si="11" ref="D40:Q40">D41+D45+D57</f>
        <v>320786</v>
      </c>
      <c r="E40" s="60">
        <f t="shared" si="11"/>
        <v>327192</v>
      </c>
      <c r="F40" s="60">
        <f t="shared" si="11"/>
        <v>429297</v>
      </c>
      <c r="G40" s="60">
        <f t="shared" si="11"/>
        <v>326610</v>
      </c>
      <c r="H40" s="60">
        <f t="shared" si="11"/>
        <v>550895</v>
      </c>
      <c r="I40" s="60">
        <f t="shared" si="11"/>
        <v>581281</v>
      </c>
      <c r="J40" s="60">
        <f t="shared" si="11"/>
        <v>471458</v>
      </c>
      <c r="K40" s="60">
        <f t="shared" si="11"/>
        <v>514547</v>
      </c>
      <c r="L40" s="60">
        <f t="shared" si="11"/>
        <v>595361.4199999999</v>
      </c>
      <c r="M40" s="192">
        <f t="shared" si="11"/>
        <v>603358.3099999999</v>
      </c>
      <c r="N40" s="94">
        <f t="shared" si="11"/>
        <v>575655.29</v>
      </c>
      <c r="O40" s="94">
        <f t="shared" si="11"/>
        <v>565224.0499999999</v>
      </c>
      <c r="P40" s="94">
        <f t="shared" si="11"/>
        <v>853057</v>
      </c>
      <c r="Q40" s="454">
        <f t="shared" si="11"/>
        <v>868065.2699999999</v>
      </c>
      <c r="R40" s="566">
        <f t="shared" si="1"/>
        <v>101.75935136807972</v>
      </c>
    </row>
    <row r="41" spans="1:18" ht="13.5" thickBot="1">
      <c r="A41" s="660"/>
      <c r="B41" s="55">
        <v>221</v>
      </c>
      <c r="C41" s="56" t="s">
        <v>136</v>
      </c>
      <c r="D41" s="58">
        <f aca="true" t="shared" si="12" ref="D41:P41">SUM(D42:D44)</f>
        <v>108312</v>
      </c>
      <c r="E41" s="58">
        <f t="shared" si="12"/>
        <v>99747</v>
      </c>
      <c r="F41" s="58">
        <f t="shared" si="12"/>
        <v>156211</v>
      </c>
      <c r="G41" s="58">
        <f t="shared" si="12"/>
        <v>110441</v>
      </c>
      <c r="H41" s="58">
        <f t="shared" si="12"/>
        <v>116883</v>
      </c>
      <c r="I41" s="58">
        <f t="shared" si="12"/>
        <v>93914</v>
      </c>
      <c r="J41" s="58">
        <f t="shared" si="12"/>
        <v>69092</v>
      </c>
      <c r="K41" s="58">
        <f t="shared" si="12"/>
        <v>77127</v>
      </c>
      <c r="L41" s="58">
        <f>SUM(L42:L44)</f>
        <v>85540.68</v>
      </c>
      <c r="M41" s="138">
        <f t="shared" si="12"/>
        <v>81456.3</v>
      </c>
      <c r="N41" s="87">
        <f>SUM(N42:N44)</f>
        <v>65885.95</v>
      </c>
      <c r="O41" s="87">
        <f>SUM(O42:O44)</f>
        <v>60850.59</v>
      </c>
      <c r="P41" s="87">
        <f t="shared" si="12"/>
        <v>117251</v>
      </c>
      <c r="Q41" s="124">
        <f>SUM(Q42:Q44)</f>
        <v>136156.94</v>
      </c>
      <c r="R41" s="125">
        <f t="shared" si="1"/>
        <v>116.12433156220416</v>
      </c>
    </row>
    <row r="42" spans="1:18" ht="12.75">
      <c r="A42" s="676"/>
      <c r="B42" s="657"/>
      <c r="C42" s="36" t="s">
        <v>137</v>
      </c>
      <c r="D42" s="49">
        <v>103532</v>
      </c>
      <c r="E42" s="49">
        <v>91482</v>
      </c>
      <c r="F42" s="49">
        <v>143896</v>
      </c>
      <c r="G42" s="49">
        <v>103964</v>
      </c>
      <c r="H42" s="49">
        <v>97289</v>
      </c>
      <c r="I42" s="49">
        <v>69567</v>
      </c>
      <c r="J42" s="49">
        <v>48641</v>
      </c>
      <c r="K42" s="24">
        <v>58713</v>
      </c>
      <c r="L42" s="24">
        <v>65956.11</v>
      </c>
      <c r="M42" s="105">
        <v>53025.13</v>
      </c>
      <c r="N42" s="21">
        <v>35320.42</v>
      </c>
      <c r="O42" s="21">
        <v>33711.95</v>
      </c>
      <c r="P42" s="21">
        <v>86500</v>
      </c>
      <c r="Q42" s="105">
        <f>103833.29-1404.5</f>
        <v>102428.79</v>
      </c>
      <c r="R42" s="127">
        <f t="shared" si="1"/>
        <v>118.41478612716763</v>
      </c>
    </row>
    <row r="43" spans="1:18" ht="12.75">
      <c r="A43" s="676"/>
      <c r="B43" s="658"/>
      <c r="C43" s="50" t="s">
        <v>138</v>
      </c>
      <c r="D43" s="61"/>
      <c r="E43" s="61"/>
      <c r="F43" s="61"/>
      <c r="G43" s="61"/>
      <c r="H43" s="61"/>
      <c r="I43" s="61"/>
      <c r="J43" s="61"/>
      <c r="K43" s="24"/>
      <c r="L43" s="24">
        <v>768.56</v>
      </c>
      <c r="M43" s="103">
        <v>1339.48</v>
      </c>
      <c r="N43" s="62">
        <v>1870.76</v>
      </c>
      <c r="O43" s="62"/>
      <c r="P43" s="62">
        <v>700</v>
      </c>
      <c r="Q43" s="103">
        <v>1404.5</v>
      </c>
      <c r="R43" s="586">
        <f t="shared" si="1"/>
        <v>200.6428571428571</v>
      </c>
    </row>
    <row r="44" spans="1:22" ht="13.5" thickBot="1">
      <c r="A44" s="676"/>
      <c r="B44" s="659"/>
      <c r="C44" s="53" t="s">
        <v>224</v>
      </c>
      <c r="D44" s="53">
        <v>4780</v>
      </c>
      <c r="E44" s="53">
        <v>8265</v>
      </c>
      <c r="F44" s="53">
        <v>12315</v>
      </c>
      <c r="G44" s="53">
        <v>6477</v>
      </c>
      <c r="H44" s="53">
        <v>19594</v>
      </c>
      <c r="I44" s="53">
        <v>24347</v>
      </c>
      <c r="J44" s="53">
        <v>20451</v>
      </c>
      <c r="K44" s="24">
        <v>18414</v>
      </c>
      <c r="L44" s="24">
        <v>18816.01</v>
      </c>
      <c r="M44" s="201">
        <v>27091.69</v>
      </c>
      <c r="N44" s="27">
        <v>28694.77</v>
      </c>
      <c r="O44" s="27">
        <v>27138.64</v>
      </c>
      <c r="P44" s="27">
        <v>30051</v>
      </c>
      <c r="Q44" s="201">
        <v>32323.65</v>
      </c>
      <c r="R44" s="585">
        <f t="shared" si="1"/>
        <v>107.56264350603975</v>
      </c>
      <c r="V44" s="488"/>
    </row>
    <row r="45" spans="1:25" ht="13.5" thickBot="1">
      <c r="A45" s="676"/>
      <c r="B45" s="55">
        <v>223</v>
      </c>
      <c r="C45" s="55" t="s">
        <v>139</v>
      </c>
      <c r="D45" s="55">
        <v>209420</v>
      </c>
      <c r="E45" s="55">
        <v>224723</v>
      </c>
      <c r="F45" s="55">
        <v>270165</v>
      </c>
      <c r="G45" s="55">
        <v>213694</v>
      </c>
      <c r="H45" s="55">
        <v>431444</v>
      </c>
      <c r="I45" s="58">
        <f aca="true" t="shared" si="13" ref="I45:Q45">SUM(I46:I56)</f>
        <v>484992</v>
      </c>
      <c r="J45" s="58">
        <f t="shared" si="13"/>
        <v>400298</v>
      </c>
      <c r="K45" s="58">
        <f t="shared" si="13"/>
        <v>434944</v>
      </c>
      <c r="L45" s="58">
        <f t="shared" si="13"/>
        <v>507780.69999999995</v>
      </c>
      <c r="M45" s="138">
        <f t="shared" si="13"/>
        <v>519757.4199999999</v>
      </c>
      <c r="N45" s="87">
        <f t="shared" si="13"/>
        <v>507767.17</v>
      </c>
      <c r="O45" s="87">
        <f t="shared" si="13"/>
        <v>502305.62</v>
      </c>
      <c r="P45" s="87">
        <f t="shared" si="13"/>
        <v>734006</v>
      </c>
      <c r="Q45" s="124">
        <f t="shared" si="13"/>
        <v>730285.49</v>
      </c>
      <c r="R45" s="125">
        <f t="shared" si="1"/>
        <v>99.49312267202176</v>
      </c>
      <c r="T45" s="564"/>
      <c r="W45" s="488"/>
      <c r="Y45" s="488"/>
    </row>
    <row r="46" spans="1:18" ht="12.75">
      <c r="A46" s="676"/>
      <c r="B46" s="657"/>
      <c r="C46" s="49" t="s">
        <v>140</v>
      </c>
      <c r="D46" s="49"/>
      <c r="E46" s="49"/>
      <c r="F46" s="49"/>
      <c r="G46" s="49"/>
      <c r="H46" s="49"/>
      <c r="I46" s="49">
        <v>19602</v>
      </c>
      <c r="J46" s="49">
        <v>19573</v>
      </c>
      <c r="K46" s="24">
        <v>20641</v>
      </c>
      <c r="L46" s="24">
        <v>20552.5</v>
      </c>
      <c r="M46" s="105">
        <v>20532.33</v>
      </c>
      <c r="N46" s="21">
        <v>37975.43</v>
      </c>
      <c r="O46" s="21">
        <v>42651.54</v>
      </c>
      <c r="P46" s="21">
        <v>50000</v>
      </c>
      <c r="Q46" s="105">
        <v>57271.2</v>
      </c>
      <c r="R46" s="127">
        <f t="shared" si="1"/>
        <v>114.5424</v>
      </c>
    </row>
    <row r="47" spans="1:18" ht="12.75">
      <c r="A47" s="676"/>
      <c r="B47" s="658"/>
      <c r="C47" s="50" t="s">
        <v>141</v>
      </c>
      <c r="D47" s="50"/>
      <c r="E47" s="50"/>
      <c r="F47" s="50"/>
      <c r="G47" s="50"/>
      <c r="H47" s="50"/>
      <c r="I47" s="50">
        <v>20170</v>
      </c>
      <c r="J47" s="50">
        <v>3900</v>
      </c>
      <c r="K47" s="24">
        <v>8400</v>
      </c>
      <c r="L47" s="24">
        <v>4100</v>
      </c>
      <c r="M47" s="105">
        <v>15650</v>
      </c>
      <c r="N47" s="21">
        <v>19753</v>
      </c>
      <c r="O47" s="21">
        <v>8510</v>
      </c>
      <c r="P47" s="21">
        <v>9040</v>
      </c>
      <c r="Q47" s="105">
        <v>8950</v>
      </c>
      <c r="R47" s="127">
        <f t="shared" si="1"/>
        <v>99.00442477876106</v>
      </c>
    </row>
    <row r="48" spans="1:18" ht="12.75" hidden="1">
      <c r="A48" s="676"/>
      <c r="B48" s="658"/>
      <c r="C48" s="50" t="s">
        <v>142</v>
      </c>
      <c r="D48" s="50"/>
      <c r="E48" s="50"/>
      <c r="F48" s="50"/>
      <c r="G48" s="50"/>
      <c r="H48" s="50"/>
      <c r="I48" s="63">
        <v>1309</v>
      </c>
      <c r="J48" s="64"/>
      <c r="K48" s="24"/>
      <c r="L48" s="24"/>
      <c r="M48" s="105"/>
      <c r="N48" s="21"/>
      <c r="O48" s="21"/>
      <c r="P48" s="21"/>
      <c r="Q48" s="105"/>
      <c r="R48" s="127">
        <f t="shared" si="1"/>
        <v>0</v>
      </c>
    </row>
    <row r="49" spans="1:18" ht="12.75">
      <c r="A49" s="676"/>
      <c r="B49" s="658"/>
      <c r="C49" s="52" t="s">
        <v>143</v>
      </c>
      <c r="D49" s="52"/>
      <c r="E49" s="52"/>
      <c r="F49" s="52"/>
      <c r="G49" s="52"/>
      <c r="H49" s="52"/>
      <c r="I49" s="39">
        <v>23291</v>
      </c>
      <c r="J49" s="39">
        <v>27058</v>
      </c>
      <c r="K49" s="24">
        <f>18432+1749</f>
        <v>20181</v>
      </c>
      <c r="L49" s="24">
        <v>31759</v>
      </c>
      <c r="M49" s="183">
        <v>31403.35</v>
      </c>
      <c r="N49" s="24">
        <v>35343</v>
      </c>
      <c r="O49" s="24">
        <v>34322.05</v>
      </c>
      <c r="P49" s="24">
        <v>33000</v>
      </c>
      <c r="Q49" s="183">
        <v>45533.12</v>
      </c>
      <c r="R49" s="119">
        <f t="shared" si="1"/>
        <v>137.97915151515153</v>
      </c>
    </row>
    <row r="50" spans="1:18" ht="12.75">
      <c r="A50" s="676"/>
      <c r="B50" s="658"/>
      <c r="C50" s="52" t="s">
        <v>412</v>
      </c>
      <c r="D50" s="52"/>
      <c r="E50" s="52"/>
      <c r="F50" s="52"/>
      <c r="G50" s="52"/>
      <c r="H50" s="52"/>
      <c r="I50" s="39"/>
      <c r="J50" s="39"/>
      <c r="K50" s="24"/>
      <c r="L50" s="24"/>
      <c r="M50" s="183"/>
      <c r="N50" s="24"/>
      <c r="O50" s="24">
        <v>2410.4</v>
      </c>
      <c r="P50" s="24">
        <v>32000</v>
      </c>
      <c r="Q50" s="183">
        <v>34986.25</v>
      </c>
      <c r="R50" s="119">
        <f t="shared" si="1"/>
        <v>109.33203125</v>
      </c>
    </row>
    <row r="51" spans="1:18" ht="12.75">
      <c r="A51" s="676"/>
      <c r="B51" s="658"/>
      <c r="C51" s="52" t="s">
        <v>144</v>
      </c>
      <c r="D51" s="52"/>
      <c r="E51" s="52"/>
      <c r="F51" s="52"/>
      <c r="G51" s="52"/>
      <c r="H51" s="52"/>
      <c r="I51" s="39">
        <f>25266+1975-2735</f>
        <v>24506</v>
      </c>
      <c r="J51" s="39">
        <v>29035</v>
      </c>
      <c r="K51" s="24">
        <v>28418</v>
      </c>
      <c r="L51" s="24">
        <v>20267.02</v>
      </c>
      <c r="M51" s="183">
        <v>19677.18</v>
      </c>
      <c r="N51" s="24">
        <v>14953.06</v>
      </c>
      <c r="O51" s="24">
        <v>28154.6</v>
      </c>
      <c r="P51" s="24">
        <v>0</v>
      </c>
      <c r="Q51" s="183"/>
      <c r="R51" s="119">
        <f t="shared" si="1"/>
        <v>0</v>
      </c>
    </row>
    <row r="52" spans="1:18" ht="12.75">
      <c r="A52" s="676"/>
      <c r="B52" s="658"/>
      <c r="C52" s="52" t="s">
        <v>213</v>
      </c>
      <c r="D52" s="52"/>
      <c r="E52" s="52"/>
      <c r="F52" s="52"/>
      <c r="G52" s="52"/>
      <c r="H52" s="52"/>
      <c r="I52" s="39">
        <f>19469+134+18</f>
        <v>19621</v>
      </c>
      <c r="J52" s="39">
        <v>15462</v>
      </c>
      <c r="K52" s="24">
        <v>15205</v>
      </c>
      <c r="L52" s="24">
        <v>17827.7</v>
      </c>
      <c r="M52" s="183">
        <v>16873.9</v>
      </c>
      <c r="N52" s="24">
        <v>18524.4</v>
      </c>
      <c r="O52" s="24">
        <v>107327.38</v>
      </c>
      <c r="P52" s="24">
        <v>16000</v>
      </c>
      <c r="Q52" s="183">
        <v>20421</v>
      </c>
      <c r="R52" s="119">
        <f t="shared" si="1"/>
        <v>127.63125</v>
      </c>
    </row>
    <row r="53" spans="1:18" ht="12.75">
      <c r="A53" s="676"/>
      <c r="B53" s="658"/>
      <c r="C53" s="59" t="s">
        <v>145</v>
      </c>
      <c r="D53" s="59"/>
      <c r="E53" s="59"/>
      <c r="F53" s="59"/>
      <c r="G53" s="59"/>
      <c r="H53" s="59"/>
      <c r="I53" s="65">
        <v>136368</v>
      </c>
      <c r="J53" s="39">
        <v>127040</v>
      </c>
      <c r="K53" s="24">
        <f>149434+40</f>
        <v>149474</v>
      </c>
      <c r="L53" s="24">
        <v>154903.56</v>
      </c>
      <c r="M53" s="201">
        <v>163189.57</v>
      </c>
      <c r="N53" s="27">
        <v>121087.25</v>
      </c>
      <c r="O53" s="27">
        <v>49349.66</v>
      </c>
      <c r="P53" s="27">
        <v>121000</v>
      </c>
      <c r="Q53" s="201">
        <f>100448.22</f>
        <v>100448.22</v>
      </c>
      <c r="R53" s="585">
        <f t="shared" si="1"/>
        <v>83.01505785123967</v>
      </c>
    </row>
    <row r="54" spans="1:18" ht="12.75">
      <c r="A54" s="676"/>
      <c r="B54" s="658"/>
      <c r="C54" s="59" t="s">
        <v>146</v>
      </c>
      <c r="D54" s="59"/>
      <c r="E54" s="59"/>
      <c r="F54" s="59"/>
      <c r="G54" s="59"/>
      <c r="H54" s="59"/>
      <c r="I54" s="65">
        <v>60412</v>
      </c>
      <c r="J54" s="39">
        <v>44729</v>
      </c>
      <c r="K54" s="24">
        <v>51770</v>
      </c>
      <c r="L54" s="24">
        <v>49600.39</v>
      </c>
      <c r="M54" s="201">
        <v>49002.82</v>
      </c>
      <c r="N54" s="27">
        <v>48758.66</v>
      </c>
      <c r="O54" s="27">
        <v>11897.8</v>
      </c>
      <c r="P54" s="27">
        <v>63000</v>
      </c>
      <c r="Q54" s="201">
        <f>39466.72+8732</f>
        <v>48198.72</v>
      </c>
      <c r="R54" s="585">
        <f t="shared" si="1"/>
        <v>76.50590476190476</v>
      </c>
    </row>
    <row r="55" spans="1:22" ht="12.75">
      <c r="A55" s="676"/>
      <c r="B55" s="658"/>
      <c r="C55" s="59" t="s">
        <v>147</v>
      </c>
      <c r="D55" s="59"/>
      <c r="E55" s="59"/>
      <c r="F55" s="59"/>
      <c r="G55" s="59"/>
      <c r="H55" s="59"/>
      <c r="I55" s="65"/>
      <c r="J55" s="39"/>
      <c r="K55" s="24"/>
      <c r="L55" s="24">
        <v>760.76</v>
      </c>
      <c r="M55" s="201"/>
      <c r="N55" s="27">
        <v>3813</v>
      </c>
      <c r="O55" s="27">
        <v>6856.9</v>
      </c>
      <c r="P55" s="27">
        <v>0</v>
      </c>
      <c r="Q55" s="201">
        <f>612.2+20+27.5+10.2</f>
        <v>669.9000000000001</v>
      </c>
      <c r="R55" s="585">
        <f t="shared" si="1"/>
        <v>0</v>
      </c>
      <c r="V55" s="488"/>
    </row>
    <row r="56" spans="1:22" ht="13.5" thickBot="1">
      <c r="A56" s="676"/>
      <c r="B56" s="658"/>
      <c r="C56" s="59" t="s">
        <v>148</v>
      </c>
      <c r="D56" s="59"/>
      <c r="E56" s="59"/>
      <c r="F56" s="59"/>
      <c r="G56" s="59"/>
      <c r="H56" s="59"/>
      <c r="I56" s="65">
        <f>111+179602</f>
        <v>179713</v>
      </c>
      <c r="J56" s="39">
        <f>91+133410</f>
        <v>133501</v>
      </c>
      <c r="K56" s="24">
        <f>60+137299+3496</f>
        <v>140855</v>
      </c>
      <c r="L56" s="24">
        <v>208009.77</v>
      </c>
      <c r="M56" s="201">
        <v>203428.27</v>
      </c>
      <c r="N56" s="27">
        <v>207559.37</v>
      </c>
      <c r="O56" s="27">
        <v>210825.28999999998</v>
      </c>
      <c r="P56" s="27">
        <f>196466+213500</f>
        <v>409966</v>
      </c>
      <c r="Q56" s="201">
        <f>413807.08</f>
        <v>413807.08</v>
      </c>
      <c r="R56" s="585">
        <f t="shared" si="1"/>
        <v>100.9369264768298</v>
      </c>
      <c r="T56" s="539">
        <f>Q56+Q92</f>
        <v>441484.57</v>
      </c>
      <c r="V56" s="539">
        <v>4800</v>
      </c>
    </row>
    <row r="57" spans="1:22" ht="13.5" thickBot="1">
      <c r="A57" s="676"/>
      <c r="B57" s="55">
        <v>229</v>
      </c>
      <c r="C57" s="55" t="s">
        <v>149</v>
      </c>
      <c r="D57" s="57">
        <f>D58</f>
        <v>3054</v>
      </c>
      <c r="E57" s="57">
        <f>E58</f>
        <v>2722</v>
      </c>
      <c r="F57" s="57">
        <f>F58</f>
        <v>2921</v>
      </c>
      <c r="G57" s="57">
        <f>G58</f>
        <v>2475</v>
      </c>
      <c r="H57" s="57">
        <f>H58</f>
        <v>2568</v>
      </c>
      <c r="I57" s="57">
        <f aca="true" t="shared" si="14" ref="I57:Q57">I58</f>
        <v>2375</v>
      </c>
      <c r="J57" s="57">
        <f t="shared" si="14"/>
        <v>2068</v>
      </c>
      <c r="K57" s="58">
        <f t="shared" si="14"/>
        <v>2476</v>
      </c>
      <c r="L57" s="58">
        <f t="shared" si="14"/>
        <v>2040.04</v>
      </c>
      <c r="M57" s="58">
        <f t="shared" si="14"/>
        <v>2144.59</v>
      </c>
      <c r="N57" s="87">
        <f t="shared" si="14"/>
        <v>2002.17</v>
      </c>
      <c r="O57" s="87">
        <f t="shared" si="14"/>
        <v>2067.84</v>
      </c>
      <c r="P57" s="87">
        <f t="shared" si="14"/>
        <v>1800</v>
      </c>
      <c r="Q57" s="124">
        <f t="shared" si="14"/>
        <v>1622.84</v>
      </c>
      <c r="R57" s="125">
        <f t="shared" si="1"/>
        <v>90.15777777777777</v>
      </c>
      <c r="V57" s="539">
        <v>-86.44</v>
      </c>
    </row>
    <row r="58" spans="1:22" ht="13.5" thickBot="1">
      <c r="A58" s="677"/>
      <c r="B58" s="66"/>
      <c r="C58" s="66" t="s">
        <v>150</v>
      </c>
      <c r="D58" s="66">
        <v>3054</v>
      </c>
      <c r="E58" s="66">
        <v>2722</v>
      </c>
      <c r="F58" s="66">
        <v>2921</v>
      </c>
      <c r="G58" s="66">
        <v>2475</v>
      </c>
      <c r="H58" s="66">
        <v>2568</v>
      </c>
      <c r="I58" s="66">
        <v>2375</v>
      </c>
      <c r="J58" s="66">
        <v>2068</v>
      </c>
      <c r="K58" s="67">
        <v>2476</v>
      </c>
      <c r="L58" s="67">
        <v>2040.04</v>
      </c>
      <c r="M58" s="189">
        <v>2144.59</v>
      </c>
      <c r="N58" s="68">
        <v>2002.17</v>
      </c>
      <c r="O58" s="68">
        <v>2067.84</v>
      </c>
      <c r="P58" s="68">
        <v>1800</v>
      </c>
      <c r="Q58" s="189">
        <v>1622.84</v>
      </c>
      <c r="R58" s="567">
        <f t="shared" si="1"/>
        <v>90.15777777777777</v>
      </c>
      <c r="V58" s="539">
        <f>SUM(V56:V57)</f>
        <v>4713.56</v>
      </c>
    </row>
    <row r="59" spans="1:18" ht="15.75" thickBot="1">
      <c r="A59" s="13">
        <v>240</v>
      </c>
      <c r="B59" s="705" t="s">
        <v>151</v>
      </c>
      <c r="C59" s="706"/>
      <c r="D59" s="69">
        <f aca="true" t="shared" si="15" ref="D59:O59">SUM(D60:D60)</f>
        <v>27352</v>
      </c>
      <c r="E59" s="69">
        <f t="shared" si="15"/>
        <v>10390</v>
      </c>
      <c r="F59" s="69">
        <f t="shared" si="15"/>
        <v>16730</v>
      </c>
      <c r="G59" s="69">
        <f t="shared" si="15"/>
        <v>5867</v>
      </c>
      <c r="H59" s="69">
        <f t="shared" si="15"/>
        <v>6403</v>
      </c>
      <c r="I59" s="69">
        <f t="shared" si="15"/>
        <v>3943</v>
      </c>
      <c r="J59" s="69">
        <f t="shared" si="15"/>
        <v>3352</v>
      </c>
      <c r="K59" s="69">
        <f t="shared" si="15"/>
        <v>1988</v>
      </c>
      <c r="L59" s="70">
        <f t="shared" si="15"/>
        <v>1226.92</v>
      </c>
      <c r="M59" s="69">
        <f t="shared" si="15"/>
        <v>445.87</v>
      </c>
      <c r="N59" s="368">
        <f t="shared" si="15"/>
        <v>2584.38</v>
      </c>
      <c r="O59" s="368">
        <f t="shared" si="15"/>
        <v>1160.94</v>
      </c>
      <c r="P59" s="368">
        <f>SUM(P60:P60)</f>
        <v>0</v>
      </c>
      <c r="Q59" s="546">
        <f>SUM(Q60:Q60)</f>
        <v>1818.95</v>
      </c>
      <c r="R59" s="575">
        <f t="shared" si="1"/>
        <v>0</v>
      </c>
    </row>
    <row r="60" spans="1:18" ht="15.75" thickBot="1">
      <c r="A60" s="46"/>
      <c r="B60" s="71"/>
      <c r="C60" s="72" t="s">
        <v>152</v>
      </c>
      <c r="D60" s="72">
        <v>27352</v>
      </c>
      <c r="E60" s="72">
        <v>10390</v>
      </c>
      <c r="F60" s="72">
        <v>16730</v>
      </c>
      <c r="G60" s="72">
        <v>5867</v>
      </c>
      <c r="H60" s="72">
        <v>6403</v>
      </c>
      <c r="I60" s="72">
        <v>3943</v>
      </c>
      <c r="J60" s="72">
        <v>3352</v>
      </c>
      <c r="K60" s="73">
        <v>1988</v>
      </c>
      <c r="L60" s="73">
        <v>1226.92</v>
      </c>
      <c r="M60" s="241">
        <v>445.87</v>
      </c>
      <c r="N60" s="74">
        <v>2584.38</v>
      </c>
      <c r="O60" s="74">
        <v>1160.94</v>
      </c>
      <c r="P60" s="74"/>
      <c r="Q60" s="484">
        <v>1818.95</v>
      </c>
      <c r="R60" s="485">
        <f t="shared" si="1"/>
        <v>0</v>
      </c>
    </row>
    <row r="61" spans="1:18" ht="15.75" thickBot="1">
      <c r="A61" s="13">
        <v>290</v>
      </c>
      <c r="B61" s="678" t="s">
        <v>153</v>
      </c>
      <c r="C61" s="679"/>
      <c r="D61" s="75">
        <f>D62</f>
        <v>56396</v>
      </c>
      <c r="E61" s="75">
        <f>E62</f>
        <v>21078</v>
      </c>
      <c r="F61" s="75">
        <f>F62</f>
        <v>316039</v>
      </c>
      <c r="G61" s="75">
        <f>G62</f>
        <v>123165</v>
      </c>
      <c r="H61" s="75">
        <v>59959</v>
      </c>
      <c r="I61" s="75">
        <f aca="true" t="shared" si="16" ref="I61:P61">I62</f>
        <v>166050</v>
      </c>
      <c r="J61" s="75">
        <f t="shared" si="16"/>
        <v>55155</v>
      </c>
      <c r="K61" s="75">
        <f t="shared" si="16"/>
        <v>92423</v>
      </c>
      <c r="L61" s="75">
        <f t="shared" si="16"/>
        <v>73212.12000000001</v>
      </c>
      <c r="M61" s="449">
        <f t="shared" si="16"/>
        <v>97470.49</v>
      </c>
      <c r="N61" s="427">
        <f t="shared" si="16"/>
        <v>73802.55999999998</v>
      </c>
      <c r="O61" s="427">
        <f t="shared" si="16"/>
        <v>45550.07000000001</v>
      </c>
      <c r="P61" s="427">
        <f t="shared" si="16"/>
        <v>63704</v>
      </c>
      <c r="Q61" s="619">
        <f>Q62</f>
        <v>56207.21</v>
      </c>
      <c r="R61" s="587">
        <f t="shared" si="1"/>
        <v>88.23183787517267</v>
      </c>
    </row>
    <row r="62" spans="1:18" ht="13.5" thickBot="1">
      <c r="A62" s="660"/>
      <c r="B62" s="56">
        <v>292</v>
      </c>
      <c r="C62" s="56" t="s">
        <v>153</v>
      </c>
      <c r="D62" s="56">
        <v>56396</v>
      </c>
      <c r="E62" s="56">
        <v>21078</v>
      </c>
      <c r="F62" s="56">
        <v>316039</v>
      </c>
      <c r="G62" s="56">
        <v>123165</v>
      </c>
      <c r="H62" s="56">
        <v>59959</v>
      </c>
      <c r="I62" s="58">
        <f aca="true" t="shared" si="17" ref="I62:P62">SUM(I63:I67)</f>
        <v>166050</v>
      </c>
      <c r="J62" s="58">
        <f t="shared" si="17"/>
        <v>55155</v>
      </c>
      <c r="K62" s="58">
        <f t="shared" si="17"/>
        <v>92423</v>
      </c>
      <c r="L62" s="58">
        <f t="shared" si="17"/>
        <v>73212.12000000001</v>
      </c>
      <c r="M62" s="138">
        <f t="shared" si="17"/>
        <v>97470.49</v>
      </c>
      <c r="N62" s="87">
        <f t="shared" si="17"/>
        <v>73802.55999999998</v>
      </c>
      <c r="O62" s="87">
        <f t="shared" si="17"/>
        <v>45550.07000000001</v>
      </c>
      <c r="P62" s="87">
        <f t="shared" si="17"/>
        <v>63704</v>
      </c>
      <c r="Q62" s="124">
        <f>SUM(Q63:Q67)</f>
        <v>56207.21</v>
      </c>
      <c r="R62" s="125">
        <f t="shared" si="1"/>
        <v>88.23183787517267</v>
      </c>
    </row>
    <row r="63" spans="1:20" ht="12.75">
      <c r="A63" s="661"/>
      <c r="B63" s="663"/>
      <c r="C63" s="76" t="s">
        <v>154</v>
      </c>
      <c r="D63" s="76"/>
      <c r="E63" s="76"/>
      <c r="F63" s="76"/>
      <c r="G63" s="76"/>
      <c r="H63" s="76"/>
      <c r="I63" s="77">
        <v>19700</v>
      </c>
      <c r="J63" s="77">
        <v>19300</v>
      </c>
      <c r="K63" s="24">
        <v>29700</v>
      </c>
      <c r="L63" s="24">
        <v>27700</v>
      </c>
      <c r="M63" s="105">
        <v>46500</v>
      </c>
      <c r="N63" s="21">
        <v>35700</v>
      </c>
      <c r="O63" s="21">
        <v>7205</v>
      </c>
      <c r="P63" s="21">
        <v>0</v>
      </c>
      <c r="Q63" s="105"/>
      <c r="R63" s="127">
        <f t="shared" si="1"/>
        <v>0</v>
      </c>
      <c r="T63" s="539"/>
    </row>
    <row r="64" spans="1:18" ht="12.75">
      <c r="A64" s="661"/>
      <c r="B64" s="664"/>
      <c r="C64" s="78" t="s">
        <v>155</v>
      </c>
      <c r="D64" s="78"/>
      <c r="E64" s="78"/>
      <c r="F64" s="78"/>
      <c r="G64" s="78"/>
      <c r="H64" s="78"/>
      <c r="I64" s="79">
        <v>37534</v>
      </c>
      <c r="J64" s="79">
        <v>14000</v>
      </c>
      <c r="K64" s="24">
        <v>2888</v>
      </c>
      <c r="L64" s="24">
        <v>313.32</v>
      </c>
      <c r="M64" s="105">
        <v>6641.91</v>
      </c>
      <c r="N64" s="21">
        <v>434.45</v>
      </c>
      <c r="O64" s="21">
        <v>5635.97</v>
      </c>
      <c r="P64" s="21">
        <v>0</v>
      </c>
      <c r="Q64" s="105"/>
      <c r="R64" s="127">
        <f t="shared" si="1"/>
        <v>0</v>
      </c>
    </row>
    <row r="65" spans="1:20" ht="12.75">
      <c r="A65" s="661"/>
      <c r="B65" s="664"/>
      <c r="C65" s="78" t="s">
        <v>153</v>
      </c>
      <c r="D65" s="78"/>
      <c r="E65" s="78"/>
      <c r="F65" s="78"/>
      <c r="G65" s="78"/>
      <c r="H65" s="78"/>
      <c r="I65" s="79">
        <v>106407</v>
      </c>
      <c r="J65" s="79">
        <v>19147</v>
      </c>
      <c r="K65" s="24">
        <f>16091+34106+2444+185+641+2733+114-32+43+286+668</f>
        <v>57279</v>
      </c>
      <c r="L65" s="24">
        <v>42730.56</v>
      </c>
      <c r="M65" s="105">
        <v>42300.64</v>
      </c>
      <c r="N65" s="21">
        <v>35668.57</v>
      </c>
      <c r="O65" s="21">
        <v>30698.190000000002</v>
      </c>
      <c r="P65" s="21">
        <v>61704</v>
      </c>
      <c r="Q65" s="105">
        <f>54016.78+86.44</f>
        <v>54103.22</v>
      </c>
      <c r="R65" s="127">
        <f t="shared" si="1"/>
        <v>87.68186827434202</v>
      </c>
      <c r="T65" s="539"/>
    </row>
    <row r="66" spans="1:18" ht="13.5" thickBot="1">
      <c r="A66" s="661"/>
      <c r="B66" s="664"/>
      <c r="C66" s="80" t="s">
        <v>156</v>
      </c>
      <c r="D66" s="80"/>
      <c r="E66" s="80"/>
      <c r="F66" s="80"/>
      <c r="G66" s="80"/>
      <c r="H66" s="80"/>
      <c r="I66" s="81">
        <v>2409</v>
      </c>
      <c r="J66" s="81">
        <v>2708</v>
      </c>
      <c r="K66" s="24">
        <v>2556</v>
      </c>
      <c r="L66" s="24">
        <v>2468.24</v>
      </c>
      <c r="M66" s="118">
        <v>2027.94</v>
      </c>
      <c r="N66" s="23">
        <v>1999.54</v>
      </c>
      <c r="O66" s="23">
        <v>2010.91</v>
      </c>
      <c r="P66" s="24">
        <v>2000</v>
      </c>
      <c r="Q66" s="118">
        <v>2103.99</v>
      </c>
      <c r="R66" s="588">
        <f t="shared" si="1"/>
        <v>105.19949999999997</v>
      </c>
    </row>
    <row r="67" spans="1:18" ht="13.5" hidden="1" thickBot="1">
      <c r="A67" s="662"/>
      <c r="B67" s="665"/>
      <c r="C67" s="501" t="s">
        <v>157</v>
      </c>
      <c r="D67" s="501"/>
      <c r="E67" s="501"/>
      <c r="F67" s="501"/>
      <c r="G67" s="501"/>
      <c r="H67" s="501"/>
      <c r="I67" s="501"/>
      <c r="J67" s="501"/>
      <c r="K67" s="253"/>
      <c r="L67" s="254"/>
      <c r="M67" s="254"/>
      <c r="N67" s="254"/>
      <c r="O67" s="254"/>
      <c r="P67" s="254"/>
      <c r="Q67" s="486"/>
      <c r="R67" s="487">
        <f t="shared" si="1"/>
        <v>0</v>
      </c>
    </row>
    <row r="68" spans="1:23" ht="16.5" thickBot="1">
      <c r="A68" s="44">
        <v>300</v>
      </c>
      <c r="B68" s="684" t="s">
        <v>158</v>
      </c>
      <c r="C68" s="685"/>
      <c r="D68" s="502">
        <f aca="true" t="shared" si="18" ref="D68:Q68">D69+D108</f>
        <v>1842129</v>
      </c>
      <c r="E68" s="502">
        <f t="shared" si="18"/>
        <v>1999701</v>
      </c>
      <c r="F68" s="502">
        <f t="shared" si="18"/>
        <v>2077242</v>
      </c>
      <c r="G68" s="502">
        <f t="shared" si="18"/>
        <v>2645110</v>
      </c>
      <c r="H68" s="502">
        <f t="shared" si="18"/>
        <v>2979865</v>
      </c>
      <c r="I68" s="502">
        <f t="shared" si="18"/>
        <v>2749519</v>
      </c>
      <c r="J68" s="502">
        <f t="shared" si="18"/>
        <v>2901991</v>
      </c>
      <c r="K68" s="502">
        <f t="shared" si="18"/>
        <v>3466649</v>
      </c>
      <c r="L68" s="502">
        <f t="shared" si="18"/>
        <v>3450076.55</v>
      </c>
      <c r="M68" s="503">
        <f t="shared" si="18"/>
        <v>3251492.52</v>
      </c>
      <c r="N68" s="504">
        <f t="shared" si="18"/>
        <v>3217895.650000001</v>
      </c>
      <c r="O68" s="504">
        <f t="shared" si="18"/>
        <v>3083446.560000001</v>
      </c>
      <c r="P68" s="504">
        <f t="shared" si="18"/>
        <v>3115738</v>
      </c>
      <c r="Q68" s="620">
        <f t="shared" si="18"/>
        <v>3121193.3499999996</v>
      </c>
      <c r="R68" s="589">
        <f aca="true" t="shared" si="19" ref="R68:R111">IF(P68=0,0,Q68/P68)*100</f>
        <v>100.17509013915804</v>
      </c>
      <c r="T68" s="539"/>
      <c r="U68" s="488"/>
      <c r="W68" s="488"/>
    </row>
    <row r="69" spans="1:18" ht="15.75" thickBot="1">
      <c r="A69" s="28">
        <v>310</v>
      </c>
      <c r="B69" s="680" t="s">
        <v>159</v>
      </c>
      <c r="C69" s="681"/>
      <c r="D69" s="60">
        <f aca="true" t="shared" si="20" ref="D69:P69">D70+D72</f>
        <v>1842129</v>
      </c>
      <c r="E69" s="60">
        <f t="shared" si="20"/>
        <v>1999701</v>
      </c>
      <c r="F69" s="60">
        <f t="shared" si="20"/>
        <v>2077242</v>
      </c>
      <c r="G69" s="60">
        <f t="shared" si="20"/>
        <v>2645110</v>
      </c>
      <c r="H69" s="60">
        <f t="shared" si="20"/>
        <v>2958818</v>
      </c>
      <c r="I69" s="60">
        <f t="shared" si="20"/>
        <v>2721164</v>
      </c>
      <c r="J69" s="60">
        <f t="shared" si="20"/>
        <v>2862933</v>
      </c>
      <c r="K69" s="60">
        <f t="shared" si="20"/>
        <v>3457133</v>
      </c>
      <c r="L69" s="60">
        <f>L70+L72</f>
        <v>3450076.55</v>
      </c>
      <c r="M69" s="192">
        <f t="shared" si="20"/>
        <v>3251492.52</v>
      </c>
      <c r="N69" s="94">
        <f>N70+N72</f>
        <v>3217895.650000001</v>
      </c>
      <c r="O69" s="94">
        <f>O70+O72</f>
        <v>3083446.560000001</v>
      </c>
      <c r="P69" s="94">
        <f t="shared" si="20"/>
        <v>3115738</v>
      </c>
      <c r="Q69" s="454">
        <f>Q70+Q72</f>
        <v>3121193.3499999996</v>
      </c>
      <c r="R69" s="566">
        <f t="shared" si="19"/>
        <v>100.17509013915804</v>
      </c>
    </row>
    <row r="70" spans="1:20" ht="13.5" thickBot="1">
      <c r="A70" s="660"/>
      <c r="B70" s="82">
        <v>311</v>
      </c>
      <c r="C70" s="55" t="s">
        <v>160</v>
      </c>
      <c r="D70" s="83">
        <f aca="true" t="shared" si="21" ref="D70:M70">SUM(D71:D71)</f>
        <v>0</v>
      </c>
      <c r="E70" s="83">
        <f t="shared" si="21"/>
        <v>23003</v>
      </c>
      <c r="F70" s="83">
        <f t="shared" si="21"/>
        <v>14107</v>
      </c>
      <c r="G70" s="83">
        <f t="shared" si="21"/>
        <v>9307</v>
      </c>
      <c r="H70" s="83">
        <f t="shared" si="21"/>
        <v>19495</v>
      </c>
      <c r="I70" s="83">
        <f t="shared" si="21"/>
        <v>11396</v>
      </c>
      <c r="J70" s="83">
        <f t="shared" si="21"/>
        <v>19287</v>
      </c>
      <c r="K70" s="58">
        <f t="shared" si="21"/>
        <v>18260</v>
      </c>
      <c r="L70" s="58">
        <f t="shared" si="21"/>
        <v>700</v>
      </c>
      <c r="M70" s="138">
        <f t="shared" si="21"/>
        <v>4100</v>
      </c>
      <c r="N70" s="428">
        <f>N71</f>
        <v>4000</v>
      </c>
      <c r="O70" s="428">
        <f>O71</f>
        <v>3010</v>
      </c>
      <c r="P70" s="428">
        <f>P71</f>
        <v>5900</v>
      </c>
      <c r="Q70" s="616">
        <f>Q71</f>
        <v>5900</v>
      </c>
      <c r="R70" s="582">
        <f t="shared" si="19"/>
        <v>100</v>
      </c>
      <c r="T70" s="539"/>
    </row>
    <row r="71" spans="1:20" ht="13.5" thickBot="1">
      <c r="A71" s="661"/>
      <c r="B71" s="35"/>
      <c r="C71" s="36" t="s">
        <v>161</v>
      </c>
      <c r="D71" s="36">
        <v>0</v>
      </c>
      <c r="E71" s="36">
        <v>23003</v>
      </c>
      <c r="F71" s="36">
        <v>14107</v>
      </c>
      <c r="G71" s="36">
        <v>9307</v>
      </c>
      <c r="H71" s="36">
        <v>19495</v>
      </c>
      <c r="I71" s="36">
        <v>11396</v>
      </c>
      <c r="J71" s="36">
        <v>19287</v>
      </c>
      <c r="K71" s="50">
        <v>18260</v>
      </c>
      <c r="L71" s="61">
        <v>700</v>
      </c>
      <c r="M71" s="105">
        <v>4100</v>
      </c>
      <c r="N71" s="21">
        <v>4000</v>
      </c>
      <c r="O71" s="21">
        <v>3010</v>
      </c>
      <c r="P71" s="21">
        <v>5900</v>
      </c>
      <c r="Q71" s="105">
        <v>5900</v>
      </c>
      <c r="R71" s="127">
        <f t="shared" si="19"/>
        <v>100</v>
      </c>
      <c r="T71" s="488"/>
    </row>
    <row r="72" spans="1:22" ht="13.5" thickBot="1">
      <c r="A72" s="661"/>
      <c r="B72" s="8">
        <v>312</v>
      </c>
      <c r="C72" s="8" t="s">
        <v>162</v>
      </c>
      <c r="D72" s="8">
        <v>1842129</v>
      </c>
      <c r="E72" s="8">
        <v>1976698</v>
      </c>
      <c r="F72" s="8">
        <v>2063135</v>
      </c>
      <c r="G72" s="8">
        <v>2635803</v>
      </c>
      <c r="H72" s="8">
        <v>2939323</v>
      </c>
      <c r="I72" s="33">
        <f>SUM(I73:I107)</f>
        <v>2709768</v>
      </c>
      <c r="J72" s="33">
        <f>SUM(J73:J107)</f>
        <v>2843646</v>
      </c>
      <c r="K72" s="33">
        <f>SUM(K73:K107)</f>
        <v>3438873</v>
      </c>
      <c r="L72" s="33">
        <v>3449376.55</v>
      </c>
      <c r="M72" s="300">
        <f>SUM(M73:M107)</f>
        <v>3247392.52</v>
      </c>
      <c r="N72" s="113">
        <f>SUM(N73:N107)</f>
        <v>3213895.650000001</v>
      </c>
      <c r="O72" s="464">
        <f>SUM(O73:O107)</f>
        <v>3080436.560000001</v>
      </c>
      <c r="P72" s="113">
        <f>SUM(P73:P107)</f>
        <v>3109838</v>
      </c>
      <c r="Q72" s="464">
        <f>SUM(Q73:Q107)</f>
        <v>3115293.3499999996</v>
      </c>
      <c r="R72" s="574">
        <f t="shared" si="19"/>
        <v>100.17542232103406</v>
      </c>
      <c r="T72" s="488"/>
      <c r="V72" s="488"/>
    </row>
    <row r="73" spans="1:21" ht="12.75">
      <c r="A73" s="661"/>
      <c r="B73" s="701"/>
      <c r="C73" s="36" t="s">
        <v>163</v>
      </c>
      <c r="D73" s="36"/>
      <c r="E73" s="36"/>
      <c r="F73" s="36"/>
      <c r="G73" s="36"/>
      <c r="H73" s="36"/>
      <c r="I73" s="36">
        <v>23695</v>
      </c>
      <c r="J73" s="36">
        <v>17245</v>
      </c>
      <c r="K73" s="24">
        <v>10901</v>
      </c>
      <c r="L73" s="21">
        <v>11158.85</v>
      </c>
      <c r="M73" s="134">
        <v>11477.1</v>
      </c>
      <c r="N73" s="84">
        <v>11818.38</v>
      </c>
      <c r="O73" s="84">
        <v>12154.95</v>
      </c>
      <c r="P73" s="84">
        <v>13029</v>
      </c>
      <c r="Q73" s="482">
        <v>13029.32</v>
      </c>
      <c r="R73" s="483">
        <f t="shared" si="19"/>
        <v>100.00245605955944</v>
      </c>
      <c r="U73" s="539"/>
    </row>
    <row r="74" spans="1:21" ht="12.75">
      <c r="A74" s="661"/>
      <c r="B74" s="702"/>
      <c r="C74" s="38" t="s">
        <v>164</v>
      </c>
      <c r="D74" s="38"/>
      <c r="E74" s="38"/>
      <c r="F74" s="38"/>
      <c r="G74" s="38"/>
      <c r="H74" s="38"/>
      <c r="I74" s="38">
        <v>2039732</v>
      </c>
      <c r="J74" s="38">
        <v>2219230</v>
      </c>
      <c r="K74" s="24">
        <v>2305975</v>
      </c>
      <c r="L74" s="24">
        <v>2374727</v>
      </c>
      <c r="M74" s="101">
        <v>2385302.7</v>
      </c>
      <c r="N74" s="24">
        <v>2378880.87</v>
      </c>
      <c r="O74" s="24">
        <v>2380478.2</v>
      </c>
      <c r="P74" s="24">
        <v>2366110</v>
      </c>
      <c r="Q74" s="482">
        <v>2366109.5</v>
      </c>
      <c r="R74" s="483">
        <f t="shared" si="19"/>
        <v>99.99997886826901</v>
      </c>
      <c r="T74" s="488"/>
      <c r="U74" s="539"/>
    </row>
    <row r="75" spans="1:21" ht="12.75">
      <c r="A75" s="661"/>
      <c r="B75" s="702"/>
      <c r="C75" s="38" t="s">
        <v>165</v>
      </c>
      <c r="D75" s="38"/>
      <c r="E75" s="38"/>
      <c r="F75" s="38"/>
      <c r="G75" s="38"/>
      <c r="H75" s="38"/>
      <c r="I75" s="38">
        <v>18027</v>
      </c>
      <c r="J75" s="38">
        <v>18084</v>
      </c>
      <c r="K75" s="24">
        <v>17994</v>
      </c>
      <c r="L75" s="24">
        <v>18008.52</v>
      </c>
      <c r="M75" s="101">
        <v>18041.07</v>
      </c>
      <c r="N75" s="24">
        <v>17962.95</v>
      </c>
      <c r="O75" s="24">
        <v>17965.74</v>
      </c>
      <c r="P75" s="24">
        <v>21444</v>
      </c>
      <c r="Q75" s="482">
        <v>21444.09</v>
      </c>
      <c r="R75" s="483">
        <f t="shared" si="19"/>
        <v>100.00041969781756</v>
      </c>
      <c r="T75" s="488"/>
      <c r="U75" s="539"/>
    </row>
    <row r="76" spans="1:21" ht="12.75">
      <c r="A76" s="661"/>
      <c r="B76" s="702"/>
      <c r="C76" s="38" t="s">
        <v>166</v>
      </c>
      <c r="D76" s="38"/>
      <c r="E76" s="38"/>
      <c r="F76" s="38"/>
      <c r="G76" s="38"/>
      <c r="H76" s="38"/>
      <c r="I76" s="38">
        <v>24577</v>
      </c>
      <c r="J76" s="38">
        <v>25124</v>
      </c>
      <c r="K76" s="24">
        <v>25564</v>
      </c>
      <c r="L76" s="24">
        <v>26022</v>
      </c>
      <c r="M76" s="101">
        <v>26310</v>
      </c>
      <c r="N76" s="24">
        <v>27303</v>
      </c>
      <c r="O76" s="24">
        <v>28388</v>
      </c>
      <c r="P76" s="24">
        <v>29368</v>
      </c>
      <c r="Q76" s="482">
        <v>29368</v>
      </c>
      <c r="R76" s="483">
        <f t="shared" si="19"/>
        <v>100</v>
      </c>
      <c r="U76" s="539"/>
    </row>
    <row r="77" spans="1:21" ht="12.75">
      <c r="A77" s="661"/>
      <c r="B77" s="702"/>
      <c r="C77" s="38" t="s">
        <v>167</v>
      </c>
      <c r="D77" s="38"/>
      <c r="E77" s="38"/>
      <c r="F77" s="38"/>
      <c r="G77" s="38"/>
      <c r="H77" s="38"/>
      <c r="I77" s="38">
        <v>7039</v>
      </c>
      <c r="J77" s="38">
        <v>7075</v>
      </c>
      <c r="K77" s="24">
        <v>7128</v>
      </c>
      <c r="L77" s="24">
        <v>7141.61</v>
      </c>
      <c r="M77" s="101">
        <v>7157.02</v>
      </c>
      <c r="N77" s="24">
        <v>7145.67</v>
      </c>
      <c r="O77" s="24">
        <v>7146.74</v>
      </c>
      <c r="P77" s="24">
        <v>7180</v>
      </c>
      <c r="Q77" s="482">
        <v>7180.34</v>
      </c>
      <c r="R77" s="483">
        <f t="shared" si="19"/>
        <v>100.00473537604458</v>
      </c>
      <c r="U77" s="539"/>
    </row>
    <row r="78" spans="1:22" ht="12.75">
      <c r="A78" s="661"/>
      <c r="B78" s="702"/>
      <c r="C78" s="38" t="s">
        <v>168</v>
      </c>
      <c r="D78" s="38"/>
      <c r="E78" s="38"/>
      <c r="F78" s="38"/>
      <c r="G78" s="38"/>
      <c r="H78" s="38"/>
      <c r="I78" s="38">
        <v>10058</v>
      </c>
      <c r="J78" s="38">
        <v>10551</v>
      </c>
      <c r="K78" s="24">
        <v>6336</v>
      </c>
      <c r="L78" s="24">
        <v>5427.66</v>
      </c>
      <c r="M78" s="101">
        <v>4327.68</v>
      </c>
      <c r="N78" s="24">
        <v>3104.64</v>
      </c>
      <c r="O78" s="24">
        <v>3575.04</v>
      </c>
      <c r="P78" s="24">
        <v>3929</v>
      </c>
      <c r="Q78" s="482">
        <v>3928.96</v>
      </c>
      <c r="R78" s="483">
        <f t="shared" si="19"/>
        <v>99.99898192924408</v>
      </c>
      <c r="U78" s="539"/>
      <c r="V78" s="488"/>
    </row>
    <row r="79" spans="1:23" ht="12.75">
      <c r="A79" s="661"/>
      <c r="B79" s="702"/>
      <c r="C79" s="38" t="s">
        <v>169</v>
      </c>
      <c r="D79" s="38"/>
      <c r="E79" s="38"/>
      <c r="F79" s="38"/>
      <c r="G79" s="38"/>
      <c r="H79" s="38"/>
      <c r="I79" s="38">
        <v>83191</v>
      </c>
      <c r="J79" s="38">
        <v>97555</v>
      </c>
      <c r="K79" s="24">
        <v>85709</v>
      </c>
      <c r="L79" s="24">
        <v>73418.71</v>
      </c>
      <c r="M79" s="101">
        <v>58497.09</v>
      </c>
      <c r="N79" s="24">
        <v>43283.74</v>
      </c>
      <c r="O79" s="24">
        <v>37015.03</v>
      </c>
      <c r="P79" s="24">
        <v>30848</v>
      </c>
      <c r="Q79" s="482">
        <v>30847.5</v>
      </c>
      <c r="R79" s="483">
        <f t="shared" si="19"/>
        <v>99.9983791493776</v>
      </c>
      <c r="U79" s="539"/>
      <c r="W79" s="488"/>
    </row>
    <row r="80" spans="1:22" ht="12.75">
      <c r="A80" s="661"/>
      <c r="B80" s="702"/>
      <c r="C80" s="38" t="s">
        <v>170</v>
      </c>
      <c r="D80" s="38"/>
      <c r="E80" s="38"/>
      <c r="F80" s="38"/>
      <c r="G80" s="38"/>
      <c r="H80" s="38"/>
      <c r="I80" s="38">
        <v>25474</v>
      </c>
      <c r="J80" s="38">
        <v>22043</v>
      </c>
      <c r="K80" s="24">
        <f>1699+18018</f>
        <v>19717</v>
      </c>
      <c r="L80" s="24">
        <v>29033.54</v>
      </c>
      <c r="M80" s="101">
        <v>25989.77</v>
      </c>
      <c r="N80" s="24">
        <v>45874.89000000001</v>
      </c>
      <c r="O80" s="24">
        <v>32060.63</v>
      </c>
      <c r="P80" s="24">
        <v>23436</v>
      </c>
      <c r="Q80" s="482">
        <f>2002.4+2605.76+1375.91+4287.03+4940.11+1672.33+3369.61+415.24+330.93+1040.58+1396</f>
        <v>23435.9</v>
      </c>
      <c r="R80" s="483">
        <f t="shared" si="19"/>
        <v>99.99957330602493</v>
      </c>
      <c r="U80" s="539"/>
      <c r="V80" s="488"/>
    </row>
    <row r="81" spans="1:21" ht="12.75">
      <c r="A81" s="661"/>
      <c r="B81" s="702"/>
      <c r="C81" s="38" t="s">
        <v>171</v>
      </c>
      <c r="D81" s="38"/>
      <c r="E81" s="38"/>
      <c r="F81" s="38"/>
      <c r="G81" s="38"/>
      <c r="H81" s="38"/>
      <c r="I81" s="38">
        <v>1008</v>
      </c>
      <c r="J81" s="38">
        <v>1008</v>
      </c>
      <c r="K81" s="24">
        <v>995</v>
      </c>
      <c r="L81" s="24">
        <v>836.54</v>
      </c>
      <c r="M81" s="101">
        <v>838.04</v>
      </c>
      <c r="N81" s="24">
        <v>834.41</v>
      </c>
      <c r="O81" s="24">
        <v>834.53</v>
      </c>
      <c r="P81" s="24">
        <v>835</v>
      </c>
      <c r="Q81" s="482">
        <v>834.58</v>
      </c>
      <c r="R81" s="483">
        <f t="shared" si="19"/>
        <v>99.94970059880241</v>
      </c>
      <c r="U81" s="539"/>
    </row>
    <row r="82" spans="1:21" ht="12.75">
      <c r="A82" s="661"/>
      <c r="B82" s="702"/>
      <c r="C82" s="38" t="s">
        <v>172</v>
      </c>
      <c r="D82" s="38"/>
      <c r="E82" s="38"/>
      <c r="F82" s="38"/>
      <c r="G82" s="38"/>
      <c r="H82" s="38"/>
      <c r="I82" s="38">
        <v>1487</v>
      </c>
      <c r="J82" s="38">
        <v>1415</v>
      </c>
      <c r="K82" s="24">
        <v>1362</v>
      </c>
      <c r="L82" s="24">
        <v>1386.9</v>
      </c>
      <c r="M82" s="101">
        <v>1388.19</v>
      </c>
      <c r="N82" s="24">
        <v>1382.72</v>
      </c>
      <c r="O82" s="24">
        <v>1384.09</v>
      </c>
      <c r="P82" s="24">
        <v>1384</v>
      </c>
      <c r="Q82" s="482">
        <v>1383.83</v>
      </c>
      <c r="R82" s="483">
        <f t="shared" si="19"/>
        <v>99.98771676300578</v>
      </c>
      <c r="U82" s="539"/>
    </row>
    <row r="83" spans="1:22" ht="12.75">
      <c r="A83" s="661"/>
      <c r="B83" s="702"/>
      <c r="C83" s="38" t="s">
        <v>407</v>
      </c>
      <c r="D83" s="38"/>
      <c r="E83" s="38"/>
      <c r="F83" s="38"/>
      <c r="G83" s="38"/>
      <c r="H83" s="38"/>
      <c r="I83" s="38">
        <v>46640</v>
      </c>
      <c r="J83" s="38">
        <v>26998</v>
      </c>
      <c r="K83" s="24">
        <v>72974</v>
      </c>
      <c r="L83" s="24">
        <v>59711.85</v>
      </c>
      <c r="M83" s="101">
        <v>88644.08</v>
      </c>
      <c r="N83" s="24"/>
      <c r="O83" s="24">
        <v>5319.72</v>
      </c>
      <c r="P83" s="24">
        <v>79960</v>
      </c>
      <c r="Q83" s="482">
        <f>15574.14+64386.24</f>
        <v>79960.38</v>
      </c>
      <c r="R83" s="483">
        <f t="shared" si="19"/>
        <v>100.00047523761882</v>
      </c>
      <c r="U83" s="539"/>
      <c r="V83" s="488"/>
    </row>
    <row r="84" spans="1:21" ht="12.75">
      <c r="A84" s="661"/>
      <c r="B84" s="702"/>
      <c r="C84" s="38" t="s">
        <v>173</v>
      </c>
      <c r="D84" s="38"/>
      <c r="E84" s="38"/>
      <c r="F84" s="38"/>
      <c r="G84" s="38"/>
      <c r="H84" s="38"/>
      <c r="I84" s="38">
        <v>4903</v>
      </c>
      <c r="J84" s="38">
        <v>4921</v>
      </c>
      <c r="K84" s="24">
        <v>4883</v>
      </c>
      <c r="L84" s="24">
        <v>4883.67</v>
      </c>
      <c r="M84" s="101">
        <v>4892.91</v>
      </c>
      <c r="N84" s="24">
        <v>4949.79</v>
      </c>
      <c r="O84" s="24">
        <v>5150.43</v>
      </c>
      <c r="P84" s="24">
        <v>5040</v>
      </c>
      <c r="Q84" s="482">
        <f>4884+155.6</f>
        <v>5039.6</v>
      </c>
      <c r="R84" s="483">
        <f t="shared" si="19"/>
        <v>99.9920634920635</v>
      </c>
      <c r="U84" s="539"/>
    </row>
    <row r="85" spans="1:21" ht="14.25" customHeight="1">
      <c r="A85" s="661"/>
      <c r="B85" s="702"/>
      <c r="C85" s="38" t="s">
        <v>174</v>
      </c>
      <c r="D85" s="38"/>
      <c r="E85" s="38"/>
      <c r="F85" s="38"/>
      <c r="G85" s="38"/>
      <c r="H85" s="38"/>
      <c r="I85" s="38"/>
      <c r="J85" s="38"/>
      <c r="K85" s="24"/>
      <c r="L85" s="24"/>
      <c r="M85" s="101"/>
      <c r="N85" s="24">
        <v>5331.12</v>
      </c>
      <c r="O85" s="24">
        <v>5725</v>
      </c>
      <c r="P85" s="24">
        <v>6318</v>
      </c>
      <c r="Q85" s="482">
        <f>12818.11-6500</f>
        <v>6318.110000000001</v>
      </c>
      <c r="R85" s="483">
        <f t="shared" si="19"/>
        <v>100.00174105729663</v>
      </c>
      <c r="U85" s="539"/>
    </row>
    <row r="86" spans="1:21" ht="12.75">
      <c r="A86" s="661"/>
      <c r="B86" s="702"/>
      <c r="C86" s="38" t="s">
        <v>174</v>
      </c>
      <c r="D86" s="38"/>
      <c r="E86" s="38"/>
      <c r="F86" s="38"/>
      <c r="G86" s="38"/>
      <c r="H86" s="38"/>
      <c r="I86" s="38">
        <v>4172</v>
      </c>
      <c r="J86" s="38">
        <v>4305</v>
      </c>
      <c r="K86" s="24">
        <v>4445</v>
      </c>
      <c r="L86" s="24">
        <v>4634.95</v>
      </c>
      <c r="M86" s="101">
        <v>5001.36</v>
      </c>
      <c r="N86" s="24">
        <v>4700</v>
      </c>
      <c r="O86" s="24">
        <v>4000</v>
      </c>
      <c r="P86" s="24">
        <v>6500</v>
      </c>
      <c r="Q86" s="482">
        <v>6500</v>
      </c>
      <c r="R86" s="483">
        <f t="shared" si="19"/>
        <v>100</v>
      </c>
      <c r="U86" s="539"/>
    </row>
    <row r="87" spans="1:21" ht="12.75">
      <c r="A87" s="661"/>
      <c r="B87" s="702"/>
      <c r="C87" s="38" t="s">
        <v>175</v>
      </c>
      <c r="D87" s="38"/>
      <c r="E87" s="38"/>
      <c r="F87" s="38"/>
      <c r="G87" s="38"/>
      <c r="H87" s="38"/>
      <c r="I87" s="38">
        <v>13965</v>
      </c>
      <c r="J87" s="38">
        <v>20215</v>
      </c>
      <c r="K87" s="24">
        <f>2614+9370+2952+12392</f>
        <v>27328</v>
      </c>
      <c r="L87" s="24">
        <v>18845.33</v>
      </c>
      <c r="M87" s="101">
        <v>25120.019999999997</v>
      </c>
      <c r="N87" s="24">
        <v>34933.57</v>
      </c>
      <c r="O87" s="24">
        <v>37751.54</v>
      </c>
      <c r="P87" s="24">
        <v>40983</v>
      </c>
      <c r="Q87" s="482">
        <f>3093.48+6187+31703.51</f>
        <v>40983.99</v>
      </c>
      <c r="R87" s="483">
        <f t="shared" si="19"/>
        <v>100.0024156357514</v>
      </c>
      <c r="U87" s="539"/>
    </row>
    <row r="88" spans="1:21" ht="12.75">
      <c r="A88" s="661"/>
      <c r="B88" s="702"/>
      <c r="C88" s="38" t="s">
        <v>462</v>
      </c>
      <c r="D88" s="38"/>
      <c r="E88" s="38"/>
      <c r="F88" s="38"/>
      <c r="G88" s="38"/>
      <c r="H88" s="38"/>
      <c r="I88" s="38"/>
      <c r="J88" s="38"/>
      <c r="K88" s="24"/>
      <c r="L88" s="24"/>
      <c r="M88" s="183"/>
      <c r="N88" s="24">
        <v>37805</v>
      </c>
      <c r="O88" s="24"/>
      <c r="P88" s="24">
        <v>45000</v>
      </c>
      <c r="Q88" s="478">
        <v>45000</v>
      </c>
      <c r="R88" s="479">
        <f t="shared" si="19"/>
        <v>100</v>
      </c>
      <c r="U88" s="539"/>
    </row>
    <row r="89" spans="1:21" ht="12.75">
      <c r="A89" s="661"/>
      <c r="B89" s="702"/>
      <c r="C89" s="38" t="s">
        <v>176</v>
      </c>
      <c r="D89" s="38"/>
      <c r="E89" s="38"/>
      <c r="F89" s="38"/>
      <c r="G89" s="38"/>
      <c r="H89" s="38"/>
      <c r="I89" s="38"/>
      <c r="J89" s="38">
        <v>100000</v>
      </c>
      <c r="K89" s="24"/>
      <c r="L89" s="24"/>
      <c r="M89" s="183">
        <v>59979.78999999999</v>
      </c>
      <c r="N89" s="24">
        <v>37805</v>
      </c>
      <c r="O89" s="24">
        <v>15864.95</v>
      </c>
      <c r="P89" s="24">
        <v>0</v>
      </c>
      <c r="Q89" s="478"/>
      <c r="R89" s="479">
        <f t="shared" si="19"/>
        <v>0</v>
      </c>
      <c r="U89" s="539"/>
    </row>
    <row r="90" spans="1:18" ht="12.75">
      <c r="A90" s="661"/>
      <c r="B90" s="702"/>
      <c r="C90" s="52" t="s">
        <v>177</v>
      </c>
      <c r="D90" s="52"/>
      <c r="E90" s="52"/>
      <c r="F90" s="52"/>
      <c r="G90" s="52"/>
      <c r="H90" s="52"/>
      <c r="I90" s="52"/>
      <c r="J90" s="52"/>
      <c r="K90" s="24">
        <v>11061</v>
      </c>
      <c r="L90" s="24"/>
      <c r="M90" s="183">
        <v>105208.79999999999</v>
      </c>
      <c r="N90" s="24"/>
      <c r="O90" s="24">
        <v>66101.8</v>
      </c>
      <c r="P90" s="24">
        <v>0</v>
      </c>
      <c r="Q90" s="478"/>
      <c r="R90" s="479">
        <f t="shared" si="19"/>
        <v>0</v>
      </c>
    </row>
    <row r="91" spans="1:22" ht="12.75">
      <c r="A91" s="661"/>
      <c r="B91" s="702"/>
      <c r="C91" s="38" t="s">
        <v>373</v>
      </c>
      <c r="D91" s="52"/>
      <c r="E91" s="52"/>
      <c r="F91" s="52"/>
      <c r="G91" s="52"/>
      <c r="H91" s="52"/>
      <c r="I91" s="52"/>
      <c r="J91" s="52"/>
      <c r="K91" s="24"/>
      <c r="L91" s="24">
        <v>35000</v>
      </c>
      <c r="M91" s="183"/>
      <c r="N91" s="24"/>
      <c r="O91" s="24"/>
      <c r="P91" s="24">
        <v>14079</v>
      </c>
      <c r="Q91" s="478">
        <v>14079</v>
      </c>
      <c r="R91" s="479">
        <f t="shared" si="19"/>
        <v>100</v>
      </c>
      <c r="V91" s="488"/>
    </row>
    <row r="92" spans="1:24" ht="12.75">
      <c r="A92" s="661"/>
      <c r="B92" s="702"/>
      <c r="C92" s="52" t="s">
        <v>473</v>
      </c>
      <c r="D92" s="52"/>
      <c r="E92" s="52"/>
      <c r="F92" s="52"/>
      <c r="G92" s="52"/>
      <c r="H92" s="52"/>
      <c r="I92" s="52"/>
      <c r="J92" s="52"/>
      <c r="K92" s="24"/>
      <c r="L92" s="24"/>
      <c r="M92" s="183"/>
      <c r="N92" s="24"/>
      <c r="O92" s="24"/>
      <c r="P92" s="24">
        <v>22222</v>
      </c>
      <c r="Q92" s="478">
        <v>27677.49</v>
      </c>
      <c r="R92" s="479">
        <f t="shared" si="19"/>
        <v>124.54995049950502</v>
      </c>
      <c r="X92" s="539"/>
    </row>
    <row r="93" spans="1:24" ht="12.75">
      <c r="A93" s="661"/>
      <c r="B93" s="702"/>
      <c r="C93" s="52" t="s">
        <v>480</v>
      </c>
      <c r="D93" s="52"/>
      <c r="E93" s="52"/>
      <c r="F93" s="52"/>
      <c r="G93" s="52"/>
      <c r="H93" s="52"/>
      <c r="I93" s="52"/>
      <c r="J93" s="52"/>
      <c r="K93" s="24"/>
      <c r="L93" s="24">
        <v>149100</v>
      </c>
      <c r="M93" s="183"/>
      <c r="N93" s="24"/>
      <c r="O93" s="24"/>
      <c r="P93" s="24">
        <v>85947</v>
      </c>
      <c r="Q93" s="478">
        <v>85947.22</v>
      </c>
      <c r="R93" s="479">
        <f t="shared" si="19"/>
        <v>100.0002559717035</v>
      </c>
      <c r="X93" s="488"/>
    </row>
    <row r="94" spans="1:18" ht="12.75">
      <c r="A94" s="661"/>
      <c r="B94" s="702"/>
      <c r="C94" s="38" t="s">
        <v>176</v>
      </c>
      <c r="D94" s="38"/>
      <c r="E94" s="38"/>
      <c r="F94" s="38"/>
      <c r="G94" s="38"/>
      <c r="H94" s="38"/>
      <c r="I94" s="38">
        <v>119232</v>
      </c>
      <c r="J94" s="38">
        <f>30008+30023</f>
        <v>60031</v>
      </c>
      <c r="K94" s="24"/>
      <c r="L94" s="24"/>
      <c r="M94" s="183">
        <v>108000</v>
      </c>
      <c r="N94" s="24"/>
      <c r="O94" s="24">
        <v>363.75</v>
      </c>
      <c r="P94" s="24"/>
      <c r="Q94" s="478"/>
      <c r="R94" s="479">
        <f t="shared" si="19"/>
        <v>0</v>
      </c>
    </row>
    <row r="95" spans="1:18" ht="12.75">
      <c r="A95" s="661"/>
      <c r="B95" s="702"/>
      <c r="C95" s="38" t="s">
        <v>179</v>
      </c>
      <c r="D95" s="38"/>
      <c r="E95" s="38"/>
      <c r="F95" s="38"/>
      <c r="G95" s="38"/>
      <c r="H95" s="38"/>
      <c r="I95" s="38"/>
      <c r="J95" s="38">
        <v>40000</v>
      </c>
      <c r="K95" s="24"/>
      <c r="L95" s="24"/>
      <c r="M95" s="24">
        <v>298131.35</v>
      </c>
      <c r="N95" s="24"/>
      <c r="O95" s="24"/>
      <c r="P95" s="24"/>
      <c r="Q95" s="478"/>
      <c r="R95" s="479">
        <f t="shared" si="19"/>
        <v>0</v>
      </c>
    </row>
    <row r="96" spans="1:22" ht="12.75">
      <c r="A96" s="661"/>
      <c r="B96" s="702"/>
      <c r="C96" s="38" t="s">
        <v>180</v>
      </c>
      <c r="D96" s="38"/>
      <c r="E96" s="38"/>
      <c r="F96" s="38"/>
      <c r="G96" s="38"/>
      <c r="H96" s="38"/>
      <c r="I96" s="38"/>
      <c r="J96" s="38">
        <v>85385</v>
      </c>
      <c r="K96" s="24">
        <v>389162</v>
      </c>
      <c r="L96" s="24"/>
      <c r="M96" s="39"/>
      <c r="N96" s="24">
        <v>274838.9</v>
      </c>
      <c r="O96" s="24">
        <v>190966.83</v>
      </c>
      <c r="P96" s="24">
        <v>164272</v>
      </c>
      <c r="Q96" s="478">
        <f>27617.76+6008.6+130645.66</f>
        <v>164272.02000000002</v>
      </c>
      <c r="R96" s="479">
        <f t="shared" si="19"/>
        <v>100.0000121749294</v>
      </c>
      <c r="V96" s="488"/>
    </row>
    <row r="97" spans="1:18" ht="12.75">
      <c r="A97" s="661"/>
      <c r="B97" s="702"/>
      <c r="C97" s="38" t="s">
        <v>181</v>
      </c>
      <c r="D97" s="38"/>
      <c r="E97" s="38"/>
      <c r="F97" s="38"/>
      <c r="G97" s="38"/>
      <c r="H97" s="38"/>
      <c r="I97" s="38"/>
      <c r="J97" s="38"/>
      <c r="K97" s="24">
        <v>6226</v>
      </c>
      <c r="L97" s="24"/>
      <c r="M97" s="24"/>
      <c r="N97" s="24"/>
      <c r="O97" s="24">
        <v>3343.24</v>
      </c>
      <c r="P97" s="24">
        <v>2738</v>
      </c>
      <c r="Q97" s="478">
        <v>2738.17</v>
      </c>
      <c r="R97" s="479">
        <f t="shared" si="19"/>
        <v>100.00620891161431</v>
      </c>
    </row>
    <row r="98" spans="1:18" ht="12.75">
      <c r="A98" s="661"/>
      <c r="B98" s="702"/>
      <c r="C98" s="38" t="s">
        <v>474</v>
      </c>
      <c r="D98" s="38"/>
      <c r="E98" s="38"/>
      <c r="F98" s="38"/>
      <c r="G98" s="38"/>
      <c r="H98" s="38"/>
      <c r="I98" s="38">
        <v>3534</v>
      </c>
      <c r="J98" s="38">
        <v>4595</v>
      </c>
      <c r="K98" s="24">
        <v>1120</v>
      </c>
      <c r="L98" s="24"/>
      <c r="M98" s="24"/>
      <c r="N98" s="24"/>
      <c r="O98" s="24"/>
      <c r="P98" s="24">
        <v>6328</v>
      </c>
      <c r="Q98" s="478">
        <v>6327.68</v>
      </c>
      <c r="R98" s="479">
        <f t="shared" si="19"/>
        <v>99.99494310998736</v>
      </c>
    </row>
    <row r="99" spans="1:18" ht="12.75">
      <c r="A99" s="661"/>
      <c r="B99" s="702"/>
      <c r="C99" s="38" t="s">
        <v>360</v>
      </c>
      <c r="D99" s="38"/>
      <c r="E99" s="38"/>
      <c r="F99" s="38"/>
      <c r="G99" s="38"/>
      <c r="H99" s="38"/>
      <c r="I99" s="38"/>
      <c r="J99" s="38"/>
      <c r="K99" s="24">
        <v>73802</v>
      </c>
      <c r="L99" s="24"/>
      <c r="M99" s="24"/>
      <c r="N99" s="24"/>
      <c r="O99" s="24"/>
      <c r="P99" s="24">
        <v>2183</v>
      </c>
      <c r="Q99" s="478">
        <v>2182.53</v>
      </c>
      <c r="R99" s="479">
        <f t="shared" si="19"/>
        <v>99.97846999541916</v>
      </c>
    </row>
    <row r="100" spans="1:18" ht="12.75">
      <c r="A100" s="661"/>
      <c r="B100" s="702"/>
      <c r="C100" s="38" t="s">
        <v>475</v>
      </c>
      <c r="D100" s="38"/>
      <c r="E100" s="38"/>
      <c r="F100" s="38"/>
      <c r="G100" s="38"/>
      <c r="H100" s="38"/>
      <c r="I100" s="38"/>
      <c r="J100" s="38">
        <v>18000</v>
      </c>
      <c r="K100" s="24"/>
      <c r="L100" s="24"/>
      <c r="M100" s="24"/>
      <c r="N100" s="24"/>
      <c r="O100" s="24"/>
      <c r="P100" s="24">
        <v>1811</v>
      </c>
      <c r="Q100" s="478">
        <v>1811.09</v>
      </c>
      <c r="R100" s="479">
        <f t="shared" si="19"/>
        <v>100.00496963003864</v>
      </c>
    </row>
    <row r="101" spans="1:18" ht="12.75">
      <c r="A101" s="661"/>
      <c r="B101" s="702"/>
      <c r="C101" s="38" t="s">
        <v>476</v>
      </c>
      <c r="D101" s="38"/>
      <c r="E101" s="38"/>
      <c r="F101" s="38"/>
      <c r="G101" s="38"/>
      <c r="H101" s="38"/>
      <c r="I101" s="38"/>
      <c r="J101" s="38"/>
      <c r="K101" s="24"/>
      <c r="L101" s="24"/>
      <c r="M101" s="85"/>
      <c r="N101" s="86"/>
      <c r="O101" s="86"/>
      <c r="P101" s="86">
        <v>790</v>
      </c>
      <c r="Q101" s="478">
        <v>790</v>
      </c>
      <c r="R101" s="479">
        <f t="shared" si="19"/>
        <v>100</v>
      </c>
    </row>
    <row r="102" spans="1:21" ht="12.75">
      <c r="A102" s="661"/>
      <c r="B102" s="702"/>
      <c r="C102" s="38" t="s">
        <v>477</v>
      </c>
      <c r="D102" s="38"/>
      <c r="E102" s="38"/>
      <c r="F102" s="38"/>
      <c r="G102" s="38"/>
      <c r="H102" s="38"/>
      <c r="I102" s="38"/>
      <c r="J102" s="38"/>
      <c r="K102" s="24"/>
      <c r="L102" s="24"/>
      <c r="M102" s="86"/>
      <c r="N102" s="86"/>
      <c r="O102" s="86"/>
      <c r="P102" s="86">
        <v>28500</v>
      </c>
      <c r="Q102" s="478">
        <v>28500</v>
      </c>
      <c r="R102" s="479">
        <f t="shared" si="19"/>
        <v>100</v>
      </c>
      <c r="U102" s="488"/>
    </row>
    <row r="103" spans="1:21" ht="12.75" hidden="1">
      <c r="A103" s="661"/>
      <c r="B103" s="702"/>
      <c r="C103" s="38"/>
      <c r="D103" s="38"/>
      <c r="E103" s="38"/>
      <c r="F103" s="38"/>
      <c r="G103" s="38"/>
      <c r="H103" s="38"/>
      <c r="I103" s="38"/>
      <c r="J103" s="38"/>
      <c r="K103" s="24"/>
      <c r="L103" s="24"/>
      <c r="M103" s="86"/>
      <c r="N103" s="86"/>
      <c r="O103" s="86"/>
      <c r="P103" s="86">
        <v>0</v>
      </c>
      <c r="Q103" s="478"/>
      <c r="R103" s="479">
        <f t="shared" si="19"/>
        <v>0</v>
      </c>
      <c r="U103" s="488">
        <v>1396</v>
      </c>
    </row>
    <row r="104" spans="1:18" ht="12.75">
      <c r="A104" s="661"/>
      <c r="B104" s="702"/>
      <c r="C104" s="38" t="s">
        <v>478</v>
      </c>
      <c r="D104" s="38"/>
      <c r="E104" s="38"/>
      <c r="F104" s="38"/>
      <c r="G104" s="38"/>
      <c r="H104" s="38"/>
      <c r="I104" s="38"/>
      <c r="J104" s="38"/>
      <c r="K104" s="24"/>
      <c r="L104" s="24"/>
      <c r="M104" s="24"/>
      <c r="N104" s="24"/>
      <c r="O104" s="24"/>
      <c r="P104" s="24">
        <v>4606</v>
      </c>
      <c r="Q104" s="478">
        <v>4606.11</v>
      </c>
      <c r="R104" s="479">
        <f t="shared" si="19"/>
        <v>100.00238818931828</v>
      </c>
    </row>
    <row r="105" spans="1:21" ht="12.75">
      <c r="A105" s="661"/>
      <c r="B105" s="702"/>
      <c r="C105" s="38" t="s">
        <v>479</v>
      </c>
      <c r="D105" s="38"/>
      <c r="E105" s="38"/>
      <c r="F105" s="38"/>
      <c r="G105" s="38"/>
      <c r="H105" s="38"/>
      <c r="I105" s="38">
        <v>165906</v>
      </c>
      <c r="J105" s="38"/>
      <c r="K105" s="24">
        <v>0</v>
      </c>
      <c r="L105" s="24"/>
      <c r="M105" s="24"/>
      <c r="N105" s="24"/>
      <c r="O105" s="24"/>
      <c r="P105" s="24">
        <v>21990</v>
      </c>
      <c r="Q105" s="478">
        <v>21989.94</v>
      </c>
      <c r="R105" s="479">
        <f t="shared" si="19"/>
        <v>99.99972714870395</v>
      </c>
      <c r="U105" s="488"/>
    </row>
    <row r="106" spans="1:22" ht="12.75">
      <c r="A106" s="661"/>
      <c r="B106" s="702"/>
      <c r="C106" s="19" t="s">
        <v>445</v>
      </c>
      <c r="D106" s="42"/>
      <c r="E106" s="42"/>
      <c r="F106" s="42"/>
      <c r="G106" s="42"/>
      <c r="H106" s="42"/>
      <c r="I106" s="42"/>
      <c r="J106" s="42"/>
      <c r="K106" s="24"/>
      <c r="L106" s="24"/>
      <c r="M106" s="24"/>
      <c r="N106" s="24"/>
      <c r="O106" s="24"/>
      <c r="P106" s="24">
        <v>73008</v>
      </c>
      <c r="Q106" s="478">
        <v>73008</v>
      </c>
      <c r="R106" s="479">
        <f t="shared" si="19"/>
        <v>100</v>
      </c>
      <c r="U106" s="488"/>
      <c r="V106" s="488"/>
    </row>
    <row r="107" spans="1:20" ht="13.5" thickBot="1">
      <c r="A107" s="661"/>
      <c r="B107" s="702"/>
      <c r="C107" s="41" t="s">
        <v>185</v>
      </c>
      <c r="D107" s="42"/>
      <c r="E107" s="42"/>
      <c r="F107" s="42"/>
      <c r="G107" s="42"/>
      <c r="H107" s="42"/>
      <c r="I107" s="42">
        <v>117128</v>
      </c>
      <c r="J107" s="42">
        <v>59866</v>
      </c>
      <c r="K107" s="24">
        <v>366191</v>
      </c>
      <c r="L107" s="24"/>
      <c r="M107" s="450">
        <v>13085.550000000001</v>
      </c>
      <c r="N107" s="24">
        <f>206825+69116</f>
        <v>275941</v>
      </c>
      <c r="O107" s="24">
        <f>224830.35+16</f>
        <v>224846.35</v>
      </c>
      <c r="P107" s="24"/>
      <c r="Q107" s="480"/>
      <c r="R107" s="481">
        <f t="shared" si="19"/>
        <v>0</v>
      </c>
      <c r="T107" s="488"/>
    </row>
    <row r="108" spans="1:18" ht="15.75" thickBot="1">
      <c r="A108" s="28">
        <v>330</v>
      </c>
      <c r="B108" s="680" t="s">
        <v>186</v>
      </c>
      <c r="C108" s="681"/>
      <c r="D108" s="60">
        <f>D109</f>
        <v>0</v>
      </c>
      <c r="E108" s="60">
        <f>E109</f>
        <v>0</v>
      </c>
      <c r="F108" s="60">
        <f>F109</f>
        <v>0</v>
      </c>
      <c r="G108" s="60">
        <f>G109</f>
        <v>0</v>
      </c>
      <c r="H108" s="60">
        <f>H109</f>
        <v>21047</v>
      </c>
      <c r="I108" s="60">
        <f aca="true" t="shared" si="22" ref="I108:P109">I109</f>
        <v>28355</v>
      </c>
      <c r="J108" s="60">
        <f t="shared" si="22"/>
        <v>39058</v>
      </c>
      <c r="K108" s="60">
        <f t="shared" si="22"/>
        <v>9516</v>
      </c>
      <c r="L108" s="60">
        <f t="shared" si="22"/>
        <v>0</v>
      </c>
      <c r="M108" s="60"/>
      <c r="N108" s="94"/>
      <c r="O108" s="94"/>
      <c r="P108" s="94">
        <f t="shared" si="22"/>
        <v>0</v>
      </c>
      <c r="Q108" s="484"/>
      <c r="R108" s="485">
        <f t="shared" si="19"/>
        <v>0</v>
      </c>
    </row>
    <row r="109" spans="1:18" ht="13.5" thickBot="1">
      <c r="A109" s="660"/>
      <c r="B109" s="55">
        <v>331</v>
      </c>
      <c r="C109" s="56" t="s">
        <v>187</v>
      </c>
      <c r="D109" s="56"/>
      <c r="E109" s="56">
        <v>0</v>
      </c>
      <c r="F109" s="56">
        <v>0</v>
      </c>
      <c r="G109" s="56">
        <v>0</v>
      </c>
      <c r="H109" s="56">
        <v>21047</v>
      </c>
      <c r="I109" s="58">
        <f t="shared" si="22"/>
        <v>28355</v>
      </c>
      <c r="J109" s="58">
        <f t="shared" si="22"/>
        <v>39058</v>
      </c>
      <c r="K109" s="58">
        <f t="shared" si="22"/>
        <v>9516</v>
      </c>
      <c r="L109" s="87"/>
      <c r="M109" s="87"/>
      <c r="N109" s="87"/>
      <c r="O109" s="87"/>
      <c r="P109" s="87"/>
      <c r="Q109" s="484"/>
      <c r="R109" s="485">
        <f t="shared" si="19"/>
        <v>0</v>
      </c>
    </row>
    <row r="110" spans="1:18" ht="13.5" thickBot="1">
      <c r="A110" s="661"/>
      <c r="B110" s="35"/>
      <c r="C110" s="88" t="s">
        <v>182</v>
      </c>
      <c r="D110" s="88"/>
      <c r="E110" s="88"/>
      <c r="F110" s="88"/>
      <c r="G110" s="88"/>
      <c r="H110" s="88">
        <v>21047</v>
      </c>
      <c r="I110" s="88">
        <v>28355</v>
      </c>
      <c r="J110" s="88">
        <v>39058</v>
      </c>
      <c r="K110" s="89">
        <v>9516</v>
      </c>
      <c r="L110" s="62"/>
      <c r="M110" s="62"/>
      <c r="N110" s="62"/>
      <c r="O110" s="62"/>
      <c r="P110" s="62"/>
      <c r="Q110" s="534"/>
      <c r="R110" s="535">
        <f t="shared" si="19"/>
        <v>0</v>
      </c>
    </row>
    <row r="111" spans="1:18" ht="17.25" thickBot="1" thickTop="1">
      <c r="A111" s="698" t="s">
        <v>188</v>
      </c>
      <c r="B111" s="699"/>
      <c r="C111" s="700"/>
      <c r="D111" s="90">
        <f aca="true" t="shared" si="23" ref="D111:Q111">D5+D26+D68</f>
        <v>7125871</v>
      </c>
      <c r="E111" s="90">
        <f t="shared" si="23"/>
        <v>7561840</v>
      </c>
      <c r="F111" s="90">
        <f t="shared" si="23"/>
        <v>9082354</v>
      </c>
      <c r="G111" s="90">
        <f t="shared" si="23"/>
        <v>9080838</v>
      </c>
      <c r="H111" s="90">
        <f t="shared" si="23"/>
        <v>8537685</v>
      </c>
      <c r="I111" s="90">
        <f t="shared" si="23"/>
        <v>9096722</v>
      </c>
      <c r="J111" s="90">
        <f t="shared" si="23"/>
        <v>9201831</v>
      </c>
      <c r="K111" s="90">
        <f t="shared" si="23"/>
        <v>9722622</v>
      </c>
      <c r="L111" s="90">
        <f t="shared" si="23"/>
        <v>9640328.239999998</v>
      </c>
      <c r="M111" s="330">
        <f t="shared" si="23"/>
        <v>10178626.01</v>
      </c>
      <c r="N111" s="90">
        <f t="shared" si="23"/>
        <v>10784511.560000002</v>
      </c>
      <c r="O111" s="330">
        <f t="shared" si="23"/>
        <v>10947590.020000001</v>
      </c>
      <c r="P111" s="429">
        <f t="shared" si="23"/>
        <v>11784690</v>
      </c>
      <c r="Q111" s="621">
        <f t="shared" si="23"/>
        <v>11835790.83</v>
      </c>
      <c r="R111" s="590">
        <f t="shared" si="19"/>
        <v>100.43362048556219</v>
      </c>
    </row>
    <row r="112" ht="13.5" thickTop="1"/>
    <row r="114" ht="12.75">
      <c r="O114" s="488"/>
    </row>
    <row r="115" spans="16:18" ht="12.75">
      <c r="P115" s="488"/>
      <c r="Q115" s="488"/>
      <c r="R115" s="488"/>
    </row>
    <row r="116" ht="12.75">
      <c r="Q116" s="539"/>
    </row>
  </sheetData>
  <sheetProtection/>
  <mergeCells count="50">
    <mergeCell ref="A111:C111"/>
    <mergeCell ref="B69:C69"/>
    <mergeCell ref="A70:A107"/>
    <mergeCell ref="B73:B107"/>
    <mergeCell ref="B108:C108"/>
    <mergeCell ref="B26:C26"/>
    <mergeCell ref="A109:A110"/>
    <mergeCell ref="B59:C59"/>
    <mergeCell ref="B61:C61"/>
    <mergeCell ref="B46:B56"/>
    <mergeCell ref="A62:A67"/>
    <mergeCell ref="B63:B67"/>
    <mergeCell ref="B68:C68"/>
    <mergeCell ref="B3:B4"/>
    <mergeCell ref="B19:B25"/>
    <mergeCell ref="B27:C27"/>
    <mergeCell ref="A7:A11"/>
    <mergeCell ref="B7:B11"/>
    <mergeCell ref="A13:A16"/>
    <mergeCell ref="B40:C40"/>
    <mergeCell ref="R3:R4"/>
    <mergeCell ref="O3:O4"/>
    <mergeCell ref="I3:I4"/>
    <mergeCell ref="J3:J4"/>
    <mergeCell ref="C3:C4"/>
    <mergeCell ref="B42:B44"/>
    <mergeCell ref="L3:L4"/>
    <mergeCell ref="B14:B16"/>
    <mergeCell ref="Q3:Q4"/>
    <mergeCell ref="N3:N4"/>
    <mergeCell ref="A1:P1"/>
    <mergeCell ref="A2:P2"/>
    <mergeCell ref="F3:F4"/>
    <mergeCell ref="B5:C5"/>
    <mergeCell ref="A41:A58"/>
    <mergeCell ref="B17:C17"/>
    <mergeCell ref="B12:C12"/>
    <mergeCell ref="A18:A25"/>
    <mergeCell ref="B6:C6"/>
    <mergeCell ref="E3:E4"/>
    <mergeCell ref="B33:B39"/>
    <mergeCell ref="A28:A39"/>
    <mergeCell ref="B29:B31"/>
    <mergeCell ref="A3:A4"/>
    <mergeCell ref="G3:G4"/>
    <mergeCell ref="P3:P4"/>
    <mergeCell ref="H3:H4"/>
    <mergeCell ref="M3:M4"/>
    <mergeCell ref="D3:D4"/>
    <mergeCell ref="K3:K4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portrait" paperSize="9" scale="86" r:id="rId1"/>
  <rowBreaks count="1" manualBreakCount="1">
    <brk id="66" max="255" man="1"/>
  </rowBreaks>
  <ignoredErrors>
    <ignoredError sqref="P108:P109 P60 P40:P41 P45 P57 P27:P30 P67:P70 P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Y241"/>
  <sheetViews>
    <sheetView zoomScalePageLayoutView="0" workbookViewId="0" topLeftCell="A1">
      <pane xSplit="11" ySplit="3" topLeftCell="O181" activePane="bottomRight" state="frozen"/>
      <selection pane="topLeft" activeCell="A1" sqref="A1"/>
      <selection pane="topRight" activeCell="L1" sqref="L1"/>
      <selection pane="bottomLeft" activeCell="A4" sqref="A4"/>
      <selection pane="bottomRight" activeCell="U158" sqref="U158"/>
    </sheetView>
  </sheetViews>
  <sheetFormatPr defaultColWidth="9.140625" defaultRowHeight="12.75"/>
  <cols>
    <col min="1" max="1" width="10.57421875" style="1" customWidth="1"/>
    <col min="2" max="2" width="9.140625" style="1" customWidth="1"/>
    <col min="3" max="3" width="28.00390625" style="1" customWidth="1"/>
    <col min="4" max="10" width="14.28125" style="1" hidden="1" customWidth="1"/>
    <col min="11" max="11" width="14.8515625" style="1" hidden="1" customWidth="1"/>
    <col min="12" max="12" width="14.28125" style="1" hidden="1" customWidth="1"/>
    <col min="13" max="13" width="16.421875" style="1" hidden="1" customWidth="1"/>
    <col min="14" max="14" width="13.7109375" style="1" hidden="1" customWidth="1"/>
    <col min="15" max="15" width="16.7109375" style="1" customWidth="1"/>
    <col min="16" max="16" width="15.57421875" style="1" customWidth="1"/>
    <col min="17" max="17" width="16.00390625" style="1" customWidth="1"/>
    <col min="18" max="18" width="9.00390625" style="1" customWidth="1"/>
    <col min="19" max="19" width="9.7109375" style="1" bestFit="1" customWidth="1"/>
    <col min="20" max="20" width="9.140625" style="1" customWidth="1"/>
    <col min="21" max="21" width="11.7109375" style="1" customWidth="1"/>
    <col min="22" max="22" width="11.57421875" style="1" customWidth="1"/>
    <col min="23" max="23" width="9.57421875" style="1" bestFit="1" customWidth="1"/>
    <col min="24" max="24" width="11.7109375" style="1" bestFit="1" customWidth="1"/>
    <col min="25" max="16384" width="9.140625" style="1" customWidth="1"/>
  </cols>
  <sheetData>
    <row r="1" spans="1:3" ht="13.5" thickBot="1">
      <c r="A1" s="707" t="s">
        <v>416</v>
      </c>
      <c r="B1" s="707"/>
      <c r="C1" s="707"/>
    </row>
    <row r="2" spans="1:18" ht="14.25" customHeight="1" thickTop="1">
      <c r="A2" s="746" t="s">
        <v>60</v>
      </c>
      <c r="B2" s="748" t="s">
        <v>94</v>
      </c>
      <c r="C2" s="750" t="s">
        <v>61</v>
      </c>
      <c r="D2" s="668" t="s">
        <v>189</v>
      </c>
      <c r="E2" s="668" t="s">
        <v>190</v>
      </c>
      <c r="F2" s="668" t="s">
        <v>191</v>
      </c>
      <c r="G2" s="668" t="s">
        <v>192</v>
      </c>
      <c r="H2" s="668" t="s">
        <v>193</v>
      </c>
      <c r="I2" s="668" t="s">
        <v>101</v>
      </c>
      <c r="J2" s="668" t="s">
        <v>102</v>
      </c>
      <c r="K2" s="668" t="s">
        <v>103</v>
      </c>
      <c r="L2" s="668" t="s">
        <v>104</v>
      </c>
      <c r="M2" s="668" t="s">
        <v>345</v>
      </c>
      <c r="N2" s="668" t="s">
        <v>376</v>
      </c>
      <c r="O2" s="668" t="s">
        <v>451</v>
      </c>
      <c r="P2" s="670" t="s">
        <v>422</v>
      </c>
      <c r="Q2" s="668" t="s">
        <v>519</v>
      </c>
      <c r="R2" s="682" t="s">
        <v>483</v>
      </c>
    </row>
    <row r="3" spans="1:18" ht="33.75" customHeight="1" thickBot="1">
      <c r="A3" s="747"/>
      <c r="B3" s="749"/>
      <c r="C3" s="751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71"/>
      <c r="Q3" s="669"/>
      <c r="R3" s="683"/>
    </row>
    <row r="4" spans="1:21" ht="33" customHeight="1" thickBot="1" thickTop="1">
      <c r="A4" s="177" t="s">
        <v>262</v>
      </c>
      <c r="B4" s="744" t="s">
        <v>263</v>
      </c>
      <c r="C4" s="745"/>
      <c r="D4" s="178">
        <f>SUM(D5:D8)</f>
        <v>778928</v>
      </c>
      <c r="E4" s="178">
        <f>SUM(E5:E9)</f>
        <v>871108</v>
      </c>
      <c r="F4" s="178">
        <f>SUM(F5:F9)</f>
        <v>1155712</v>
      </c>
      <c r="G4" s="178">
        <f>SUM(G5:G9)</f>
        <v>1166481</v>
      </c>
      <c r="H4" s="178">
        <f aca="true" t="shared" si="0" ref="H4:Q4">SUM(H5:H8)</f>
        <v>1147628</v>
      </c>
      <c r="I4" s="178">
        <f t="shared" si="0"/>
        <v>985015</v>
      </c>
      <c r="J4" s="178">
        <f t="shared" si="0"/>
        <v>971730</v>
      </c>
      <c r="K4" s="178">
        <f t="shared" si="0"/>
        <v>883614</v>
      </c>
      <c r="L4" s="179">
        <f t="shared" si="0"/>
        <v>976223.29</v>
      </c>
      <c r="M4" s="179">
        <f t="shared" si="0"/>
        <v>957107.49</v>
      </c>
      <c r="N4" s="536">
        <f t="shared" si="0"/>
        <v>918554.6199999999</v>
      </c>
      <c r="O4" s="536">
        <f t="shared" si="0"/>
        <v>1019144.8800000001</v>
      </c>
      <c r="P4" s="536">
        <f t="shared" si="0"/>
        <v>1091584</v>
      </c>
      <c r="Q4" s="635">
        <f t="shared" si="0"/>
        <v>1045488.5499999999</v>
      </c>
      <c r="R4" s="565">
        <f>IF(P4=0,0,Q4/P4)*100</f>
        <v>95.7771962579151</v>
      </c>
      <c r="U4" s="539"/>
    </row>
    <row r="5" spans="1:21" ht="12.75">
      <c r="A5" s="689"/>
      <c r="B5" s="180">
        <v>610</v>
      </c>
      <c r="C5" s="36" t="s">
        <v>264</v>
      </c>
      <c r="D5" s="37">
        <v>363938</v>
      </c>
      <c r="E5" s="37">
        <v>383290</v>
      </c>
      <c r="F5" s="37">
        <v>452765</v>
      </c>
      <c r="G5" s="37">
        <v>532728</v>
      </c>
      <c r="H5" s="37">
        <v>538578</v>
      </c>
      <c r="I5" s="36">
        <v>504967</v>
      </c>
      <c r="J5" s="37">
        <v>465252</v>
      </c>
      <c r="K5" s="37">
        <v>431649</v>
      </c>
      <c r="L5" s="134">
        <v>437364.06</v>
      </c>
      <c r="M5" s="134">
        <v>454979.56</v>
      </c>
      <c r="N5" s="84">
        <v>470394.73</v>
      </c>
      <c r="O5" s="84">
        <v>508902.26</v>
      </c>
      <c r="P5" s="84">
        <v>549405</v>
      </c>
      <c r="Q5" s="530">
        <f>540510.73-150</f>
        <v>540360.73</v>
      </c>
      <c r="R5" s="483">
        <f>IF(P5=0,0,Q5/P5)*100</f>
        <v>98.35380639054976</v>
      </c>
      <c r="U5" s="1">
        <v>-150</v>
      </c>
    </row>
    <row r="6" spans="1:21" ht="12.75">
      <c r="A6" s="690"/>
      <c r="B6" s="182">
        <v>620</v>
      </c>
      <c r="C6" s="38" t="s">
        <v>265</v>
      </c>
      <c r="D6" s="39">
        <v>111465</v>
      </c>
      <c r="E6" s="39">
        <v>132411</v>
      </c>
      <c r="F6" s="39">
        <v>158202</v>
      </c>
      <c r="G6" s="39">
        <v>187864</v>
      </c>
      <c r="H6" s="39">
        <v>188430</v>
      </c>
      <c r="I6" s="38">
        <v>189093</v>
      </c>
      <c r="J6" s="39">
        <v>179953</v>
      </c>
      <c r="K6" s="39">
        <v>175243</v>
      </c>
      <c r="L6" s="101">
        <v>178000.1</v>
      </c>
      <c r="M6" s="101">
        <v>174131.76</v>
      </c>
      <c r="N6" s="24">
        <v>179809.87</v>
      </c>
      <c r="O6" s="24">
        <v>197673.12</v>
      </c>
      <c r="P6" s="24">
        <v>211010</v>
      </c>
      <c r="Q6" s="530">
        <v>207010.55</v>
      </c>
      <c r="R6" s="479">
        <f aca="true" t="shared" si="1" ref="R6:R69">IF(P6=0,0,Q6/P6)*100</f>
        <v>98.10461589498128</v>
      </c>
      <c r="U6" s="1">
        <v>910</v>
      </c>
    </row>
    <row r="7" spans="1:21" ht="12.75">
      <c r="A7" s="690"/>
      <c r="B7" s="182">
        <v>630</v>
      </c>
      <c r="C7" s="38" t="s">
        <v>266</v>
      </c>
      <c r="D7" s="39">
        <v>303525</v>
      </c>
      <c r="E7" s="39">
        <v>353781</v>
      </c>
      <c r="F7" s="39">
        <v>543916</v>
      </c>
      <c r="G7" s="39">
        <v>395781</v>
      </c>
      <c r="H7" s="39">
        <v>413206</v>
      </c>
      <c r="I7" s="38">
        <v>272860</v>
      </c>
      <c r="J7" s="39">
        <v>302729</v>
      </c>
      <c r="K7" s="39">
        <v>273797</v>
      </c>
      <c r="L7" s="101">
        <v>356359.19</v>
      </c>
      <c r="M7" s="101">
        <v>297179.95</v>
      </c>
      <c r="N7" s="24">
        <v>260734.03999999998</v>
      </c>
      <c r="O7" s="24">
        <v>294421.23000000004</v>
      </c>
      <c r="P7" s="24">
        <v>331169</v>
      </c>
      <c r="Q7" s="530">
        <f>296291.73+34.46</f>
        <v>296326.19</v>
      </c>
      <c r="R7" s="479">
        <f t="shared" si="1"/>
        <v>89.47884312843291</v>
      </c>
      <c r="U7" s="1">
        <v>-1068.5</v>
      </c>
    </row>
    <row r="8" spans="1:21" ht="13.5" thickBot="1">
      <c r="A8" s="690"/>
      <c r="B8" s="182">
        <v>640</v>
      </c>
      <c r="C8" s="38" t="s">
        <v>267</v>
      </c>
      <c r="D8" s="39"/>
      <c r="E8" s="39">
        <v>564</v>
      </c>
      <c r="F8" s="39">
        <v>232</v>
      </c>
      <c r="G8" s="39">
        <v>49367</v>
      </c>
      <c r="H8" s="39">
        <v>7414</v>
      </c>
      <c r="I8" s="38">
        <v>18095</v>
      </c>
      <c r="J8" s="184">
        <v>23796</v>
      </c>
      <c r="K8" s="184">
        <v>2925</v>
      </c>
      <c r="L8" s="185">
        <v>4499.94</v>
      </c>
      <c r="M8" s="101">
        <v>30816.22</v>
      </c>
      <c r="N8" s="24">
        <v>7615.98</v>
      </c>
      <c r="O8" s="24">
        <v>18148.27</v>
      </c>
      <c r="P8" s="24"/>
      <c r="Q8" s="531">
        <v>1791.08</v>
      </c>
      <c r="R8" s="479">
        <f t="shared" si="1"/>
        <v>0</v>
      </c>
      <c r="U8" s="1">
        <v>34.46</v>
      </c>
    </row>
    <row r="9" spans="1:18" ht="13.5" hidden="1" thickBot="1">
      <c r="A9" s="691"/>
      <c r="B9" s="182">
        <v>650</v>
      </c>
      <c r="C9" s="38"/>
      <c r="D9" s="39"/>
      <c r="E9" s="39">
        <v>1062</v>
      </c>
      <c r="F9" s="39">
        <v>597</v>
      </c>
      <c r="G9" s="39">
        <v>741</v>
      </c>
      <c r="H9" s="39"/>
      <c r="I9" s="186"/>
      <c r="J9" s="186"/>
      <c r="K9" s="186"/>
      <c r="L9" s="187"/>
      <c r="M9" s="188"/>
      <c r="N9" s="68"/>
      <c r="O9" s="68"/>
      <c r="P9" s="68"/>
      <c r="Q9" s="498"/>
      <c r="R9" s="481">
        <f t="shared" si="1"/>
        <v>0</v>
      </c>
    </row>
    <row r="10" spans="1:21" ht="15.75" thickBot="1">
      <c r="A10" s="190" t="s">
        <v>65</v>
      </c>
      <c r="B10" s="688" t="s">
        <v>268</v>
      </c>
      <c r="C10" s="681"/>
      <c r="D10" s="191">
        <v>7269</v>
      </c>
      <c r="E10" s="191">
        <v>6772</v>
      </c>
      <c r="F10" s="191">
        <v>8265</v>
      </c>
      <c r="G10" s="191">
        <v>13828</v>
      </c>
      <c r="H10" s="60">
        <f aca="true" t="shared" si="2" ref="H10:M10">SUM(H11:H13)</f>
        <v>14882</v>
      </c>
      <c r="I10" s="60">
        <f t="shared" si="2"/>
        <v>14051</v>
      </c>
      <c r="J10" s="60">
        <f t="shared" si="2"/>
        <v>82274</v>
      </c>
      <c r="K10" s="60">
        <f t="shared" si="2"/>
        <v>22548</v>
      </c>
      <c r="L10" s="192">
        <f t="shared" si="2"/>
        <v>18623.79</v>
      </c>
      <c r="M10" s="192">
        <f t="shared" si="2"/>
        <v>22356.78</v>
      </c>
      <c r="N10" s="94">
        <f>SUM(N11:N13)</f>
        <v>18604.68</v>
      </c>
      <c r="O10" s="94">
        <f>SUM(O11:O13)</f>
        <v>11492.61</v>
      </c>
      <c r="P10" s="94">
        <f>SUM(P11:P13)</f>
        <v>16500</v>
      </c>
      <c r="Q10" s="454">
        <f>SUM(Q11:Q13)</f>
        <v>22020.72</v>
      </c>
      <c r="R10" s="566">
        <f t="shared" si="1"/>
        <v>133.4589090909091</v>
      </c>
      <c r="U10" s="1">
        <f>SUM(U5:U9)</f>
        <v>-274.04</v>
      </c>
    </row>
    <row r="11" spans="1:18" ht="12.75">
      <c r="A11" s="710"/>
      <c r="B11" s="193">
        <v>630</v>
      </c>
      <c r="C11" s="114" t="s">
        <v>269</v>
      </c>
      <c r="D11" s="194"/>
      <c r="E11" s="194"/>
      <c r="F11" s="194"/>
      <c r="G11" s="194"/>
      <c r="H11" s="194">
        <v>2345</v>
      </c>
      <c r="I11" s="114">
        <v>2324</v>
      </c>
      <c r="J11" s="37">
        <v>1162</v>
      </c>
      <c r="K11" s="37">
        <v>2324</v>
      </c>
      <c r="L11" s="134">
        <v>3486</v>
      </c>
      <c r="M11" s="356">
        <v>2324</v>
      </c>
      <c r="N11" s="126">
        <v>2324</v>
      </c>
      <c r="O11" s="126">
        <v>1162</v>
      </c>
      <c r="P11" s="126">
        <v>3500</v>
      </c>
      <c r="Q11" s="530">
        <v>2324</v>
      </c>
      <c r="R11" s="483">
        <f t="shared" si="1"/>
        <v>66.4</v>
      </c>
    </row>
    <row r="12" spans="1:18" ht="12.75">
      <c r="A12" s="713"/>
      <c r="B12" s="196">
        <v>630</v>
      </c>
      <c r="C12" s="22" t="s">
        <v>270</v>
      </c>
      <c r="D12" s="197"/>
      <c r="E12" s="197"/>
      <c r="F12" s="197"/>
      <c r="G12" s="197"/>
      <c r="H12" s="197">
        <v>12537</v>
      </c>
      <c r="I12" s="22">
        <v>11727</v>
      </c>
      <c r="J12" s="39">
        <v>13096</v>
      </c>
      <c r="K12" s="39">
        <v>9612</v>
      </c>
      <c r="L12" s="101">
        <v>14911.65</v>
      </c>
      <c r="M12" s="451">
        <v>19064.19</v>
      </c>
      <c r="N12" s="23">
        <v>8451.55</v>
      </c>
      <c r="O12" s="23">
        <v>6786.26</v>
      </c>
      <c r="P12" s="23">
        <v>13000</v>
      </c>
      <c r="Q12" s="531">
        <f>7652.21+8830.12</f>
        <v>16482.33</v>
      </c>
      <c r="R12" s="479">
        <f t="shared" si="1"/>
        <v>126.78715384615387</v>
      </c>
    </row>
    <row r="13" spans="1:18" ht="13.5" thickBot="1">
      <c r="A13" s="711"/>
      <c r="B13" s="198">
        <v>630</v>
      </c>
      <c r="C13" s="199" t="s">
        <v>271</v>
      </c>
      <c r="D13" s="200"/>
      <c r="E13" s="200"/>
      <c r="F13" s="200"/>
      <c r="G13" s="200"/>
      <c r="H13" s="200"/>
      <c r="I13" s="199"/>
      <c r="J13" s="39">
        <v>68016</v>
      </c>
      <c r="K13" s="39">
        <v>10612</v>
      </c>
      <c r="L13" s="201">
        <v>226.14</v>
      </c>
      <c r="M13" s="452">
        <v>968.59</v>
      </c>
      <c r="N13" s="26">
        <v>7829.13</v>
      </c>
      <c r="O13" s="26">
        <v>3544.35</v>
      </c>
      <c r="P13" s="26"/>
      <c r="Q13" s="498">
        <v>3214.39</v>
      </c>
      <c r="R13" s="481">
        <f t="shared" si="1"/>
        <v>0</v>
      </c>
    </row>
    <row r="14" spans="1:18" ht="15.75" thickBot="1">
      <c r="A14" s="190" t="s">
        <v>222</v>
      </c>
      <c r="B14" s="688" t="s">
        <v>272</v>
      </c>
      <c r="C14" s="681"/>
      <c r="D14" s="191">
        <v>20846</v>
      </c>
      <c r="E14" s="191">
        <v>22240</v>
      </c>
      <c r="F14" s="191">
        <v>25427</v>
      </c>
      <c r="G14" s="191">
        <v>26903</v>
      </c>
      <c r="H14" s="60">
        <f>SUM(H15:H17)</f>
        <v>29798</v>
      </c>
      <c r="I14" s="60">
        <f>SUM(I15:I17)</f>
        <v>28936</v>
      </c>
      <c r="J14" s="60">
        <f>SUM(J15:J17)</f>
        <v>27963</v>
      </c>
      <c r="K14" s="60">
        <f aca="true" t="shared" si="3" ref="K14:P14">SUM(K15:K18)</f>
        <v>24050</v>
      </c>
      <c r="L14" s="192">
        <f t="shared" si="3"/>
        <v>25050.219999999998</v>
      </c>
      <c r="M14" s="192">
        <f t="shared" si="3"/>
        <v>28488.050000000003</v>
      </c>
      <c r="N14" s="94">
        <f t="shared" si="3"/>
        <v>30083.289999999997</v>
      </c>
      <c r="O14" s="94">
        <f t="shared" si="3"/>
        <v>33186.08</v>
      </c>
      <c r="P14" s="94">
        <f t="shared" si="3"/>
        <v>35227</v>
      </c>
      <c r="Q14" s="454">
        <f>SUM(Q15:Q18)</f>
        <v>29084.07</v>
      </c>
      <c r="R14" s="566">
        <f t="shared" si="1"/>
        <v>82.56187015641412</v>
      </c>
    </row>
    <row r="15" spans="1:18" ht="12.75">
      <c r="A15" s="710"/>
      <c r="B15" s="180">
        <v>610</v>
      </c>
      <c r="C15" s="202" t="s">
        <v>264</v>
      </c>
      <c r="D15" s="203"/>
      <c r="E15" s="203">
        <v>13875</v>
      </c>
      <c r="F15" s="203">
        <v>15734</v>
      </c>
      <c r="G15" s="203">
        <v>16231</v>
      </c>
      <c r="H15" s="203">
        <v>16787</v>
      </c>
      <c r="I15" s="36">
        <v>17943</v>
      </c>
      <c r="J15" s="37">
        <v>18167</v>
      </c>
      <c r="K15" s="37">
        <v>15592</v>
      </c>
      <c r="L15" s="181">
        <v>15883.66</v>
      </c>
      <c r="M15" s="181">
        <v>19536.88</v>
      </c>
      <c r="N15" s="84">
        <v>20405.94</v>
      </c>
      <c r="O15" s="84">
        <v>22741.57</v>
      </c>
      <c r="P15" s="84">
        <v>23730</v>
      </c>
      <c r="Q15" s="530">
        <v>20172.56</v>
      </c>
      <c r="R15" s="483">
        <f t="shared" si="1"/>
        <v>85.00868099452171</v>
      </c>
    </row>
    <row r="16" spans="1:18" ht="12.75">
      <c r="A16" s="713"/>
      <c r="B16" s="182">
        <v>620</v>
      </c>
      <c r="C16" s="204" t="s">
        <v>265</v>
      </c>
      <c r="D16" s="205"/>
      <c r="E16" s="205">
        <v>4647</v>
      </c>
      <c r="F16" s="205">
        <v>5411</v>
      </c>
      <c r="G16" s="205">
        <v>5677</v>
      </c>
      <c r="H16" s="205">
        <v>6011</v>
      </c>
      <c r="I16" s="38">
        <v>6464</v>
      </c>
      <c r="J16" s="39">
        <v>6580</v>
      </c>
      <c r="K16" s="39">
        <v>5691</v>
      </c>
      <c r="L16" s="183">
        <v>6220</v>
      </c>
      <c r="M16" s="183">
        <v>6654.3</v>
      </c>
      <c r="N16" s="24">
        <v>7320.69</v>
      </c>
      <c r="O16" s="24">
        <v>8093.18</v>
      </c>
      <c r="P16" s="24">
        <v>8797</v>
      </c>
      <c r="Q16" s="531">
        <v>6866.62</v>
      </c>
      <c r="R16" s="479">
        <f t="shared" si="1"/>
        <v>78.05638285779243</v>
      </c>
    </row>
    <row r="17" spans="1:18" ht="12.75">
      <c r="A17" s="713"/>
      <c r="B17" s="182">
        <v>630</v>
      </c>
      <c r="C17" s="204" t="s">
        <v>266</v>
      </c>
      <c r="D17" s="205"/>
      <c r="E17" s="205">
        <v>3718</v>
      </c>
      <c r="F17" s="205">
        <v>4282</v>
      </c>
      <c r="G17" s="205">
        <v>4995</v>
      </c>
      <c r="H17" s="205">
        <v>7000</v>
      </c>
      <c r="I17" s="38">
        <v>4529</v>
      </c>
      <c r="J17" s="39">
        <v>3216</v>
      </c>
      <c r="K17" s="39">
        <v>2533</v>
      </c>
      <c r="L17" s="183">
        <v>2610.08</v>
      </c>
      <c r="M17" s="183">
        <v>2181.04</v>
      </c>
      <c r="N17" s="24">
        <v>2356.66</v>
      </c>
      <c r="O17" s="24">
        <v>2351.33</v>
      </c>
      <c r="P17" s="24">
        <v>2700</v>
      </c>
      <c r="Q17" s="531">
        <v>1891.13</v>
      </c>
      <c r="R17" s="479">
        <f t="shared" si="1"/>
        <v>70.04185185185186</v>
      </c>
    </row>
    <row r="18" spans="1:18" ht="13.5" thickBot="1">
      <c r="A18" s="711"/>
      <c r="B18" s="40">
        <v>640</v>
      </c>
      <c r="C18" s="186"/>
      <c r="D18" s="206"/>
      <c r="E18" s="206"/>
      <c r="F18" s="206"/>
      <c r="G18" s="206"/>
      <c r="H18" s="206"/>
      <c r="I18" s="128"/>
      <c r="J18" s="39"/>
      <c r="K18" s="39">
        <v>234</v>
      </c>
      <c r="L18" s="103">
        <v>336.48</v>
      </c>
      <c r="M18" s="103">
        <v>115.83</v>
      </c>
      <c r="N18" s="62"/>
      <c r="O18" s="62"/>
      <c r="P18" s="62"/>
      <c r="Q18" s="498">
        <v>153.76</v>
      </c>
      <c r="R18" s="481">
        <f t="shared" si="1"/>
        <v>0</v>
      </c>
    </row>
    <row r="19" spans="1:18" ht="15.75" thickBot="1">
      <c r="A19" s="190" t="s">
        <v>273</v>
      </c>
      <c r="B19" s="688" t="s">
        <v>274</v>
      </c>
      <c r="C19" s="681"/>
      <c r="D19" s="191">
        <v>13145</v>
      </c>
      <c r="E19" s="191">
        <v>10057</v>
      </c>
      <c r="F19" s="191">
        <v>8498</v>
      </c>
      <c r="G19" s="191">
        <v>54518</v>
      </c>
      <c r="H19" s="60">
        <f aca="true" t="shared" si="4" ref="H19:P19">H22+H20+H21+H23+H24</f>
        <v>31457</v>
      </c>
      <c r="I19" s="60">
        <f t="shared" si="4"/>
        <v>31963</v>
      </c>
      <c r="J19" s="60">
        <f t="shared" si="4"/>
        <v>33449</v>
      </c>
      <c r="K19" s="60">
        <f t="shared" si="4"/>
        <v>18092</v>
      </c>
      <c r="L19" s="192">
        <f t="shared" si="4"/>
        <v>54586.799999999996</v>
      </c>
      <c r="M19" s="192">
        <f t="shared" si="4"/>
        <v>16584.94</v>
      </c>
      <c r="N19" s="60">
        <f t="shared" si="4"/>
        <v>25483.510000000002</v>
      </c>
      <c r="O19" s="60">
        <f t="shared" si="4"/>
        <v>21980.289999999997</v>
      </c>
      <c r="P19" s="60">
        <f t="shared" si="4"/>
        <v>21994</v>
      </c>
      <c r="Q19" s="192">
        <f>Q22+Q20+Q21+Q23+Q24</f>
        <v>22643.670000000002</v>
      </c>
      <c r="R19" s="566">
        <f t="shared" si="1"/>
        <v>102.95385105028645</v>
      </c>
    </row>
    <row r="20" spans="1:21" ht="12.75">
      <c r="A20" s="708"/>
      <c r="B20" s="207">
        <v>610</v>
      </c>
      <c r="C20" s="202" t="s">
        <v>264</v>
      </c>
      <c r="D20" s="203"/>
      <c r="E20" s="203">
        <v>0</v>
      </c>
      <c r="F20" s="203">
        <v>4482</v>
      </c>
      <c r="G20" s="203">
        <v>7787</v>
      </c>
      <c r="H20" s="203">
        <v>7509</v>
      </c>
      <c r="I20" s="202">
        <v>7692</v>
      </c>
      <c r="J20" s="37">
        <v>7969</v>
      </c>
      <c r="K20" s="37">
        <v>7777</v>
      </c>
      <c r="L20" s="181">
        <v>7662.08</v>
      </c>
      <c r="M20" s="181">
        <v>8679.95</v>
      </c>
      <c r="N20" s="84">
        <v>9877.67</v>
      </c>
      <c r="O20" s="84">
        <v>9786.53</v>
      </c>
      <c r="P20" s="84">
        <v>11015</v>
      </c>
      <c r="Q20" s="530">
        <v>11379.37</v>
      </c>
      <c r="R20" s="483">
        <f t="shared" si="1"/>
        <v>103.30794371311849</v>
      </c>
      <c r="U20" s="539"/>
    </row>
    <row r="21" spans="1:21" ht="12.75">
      <c r="A21" s="712"/>
      <c r="B21" s="208">
        <v>620</v>
      </c>
      <c r="C21" s="204" t="s">
        <v>265</v>
      </c>
      <c r="D21" s="184"/>
      <c r="E21" s="184">
        <v>0</v>
      </c>
      <c r="F21" s="184">
        <v>2058</v>
      </c>
      <c r="G21" s="184">
        <v>3864</v>
      </c>
      <c r="H21" s="184">
        <v>2426</v>
      </c>
      <c r="I21" s="204">
        <v>2683</v>
      </c>
      <c r="J21" s="39">
        <v>3469</v>
      </c>
      <c r="K21" s="39">
        <v>3267</v>
      </c>
      <c r="L21" s="183">
        <v>3320.66</v>
      </c>
      <c r="M21" s="183">
        <v>3113.97</v>
      </c>
      <c r="N21" s="24">
        <v>3720.13</v>
      </c>
      <c r="O21" s="24">
        <v>3643.9399999999996</v>
      </c>
      <c r="P21" s="24">
        <v>4101</v>
      </c>
      <c r="Q21" s="531">
        <v>4236.46</v>
      </c>
      <c r="R21" s="479">
        <f t="shared" si="1"/>
        <v>103.30309680565716</v>
      </c>
      <c r="U21" s="539"/>
    </row>
    <row r="22" spans="1:21" ht="12.75">
      <c r="A22" s="712"/>
      <c r="B22" s="208">
        <v>630</v>
      </c>
      <c r="C22" s="204" t="s">
        <v>266</v>
      </c>
      <c r="D22" s="184"/>
      <c r="E22" s="184">
        <v>0</v>
      </c>
      <c r="F22" s="184">
        <v>1958</v>
      </c>
      <c r="G22" s="184">
        <v>42867</v>
      </c>
      <c r="H22" s="184">
        <v>1012</v>
      </c>
      <c r="I22" s="204">
        <v>989</v>
      </c>
      <c r="J22" s="39">
        <v>1227</v>
      </c>
      <c r="K22" s="39">
        <v>947</v>
      </c>
      <c r="L22" s="183">
        <v>588.04</v>
      </c>
      <c r="M22" s="183">
        <v>634.68</v>
      </c>
      <c r="N22" s="24">
        <v>827.63</v>
      </c>
      <c r="O22" s="24">
        <v>828.4000000000005</v>
      </c>
      <c r="P22" s="24">
        <v>550</v>
      </c>
      <c r="Q22" s="531">
        <v>675.3199999999997</v>
      </c>
      <c r="R22" s="479">
        <f t="shared" si="1"/>
        <v>122.78545454545448</v>
      </c>
      <c r="U22" s="539"/>
    </row>
    <row r="23" spans="1:21" ht="12.75" hidden="1">
      <c r="A23" s="712"/>
      <c r="B23" s="208">
        <v>640</v>
      </c>
      <c r="C23" s="38" t="s">
        <v>267</v>
      </c>
      <c r="D23" s="39"/>
      <c r="E23" s="39"/>
      <c r="F23" s="39"/>
      <c r="G23" s="39"/>
      <c r="H23" s="39"/>
      <c r="I23" s="38"/>
      <c r="J23" s="39">
        <v>3100</v>
      </c>
      <c r="K23" s="39"/>
      <c r="L23" s="24"/>
      <c r="M23" s="183">
        <v>113.93</v>
      </c>
      <c r="N23" s="24"/>
      <c r="O23" s="24">
        <v>124.72</v>
      </c>
      <c r="P23" s="24"/>
      <c r="Q23" s="531"/>
      <c r="R23" s="479">
        <f t="shared" si="1"/>
        <v>0</v>
      </c>
      <c r="U23" s="539"/>
    </row>
    <row r="24" spans="1:18" ht="13.5" thickBot="1">
      <c r="A24" s="709"/>
      <c r="B24" s="210">
        <v>600</v>
      </c>
      <c r="C24" s="186" t="s">
        <v>275</v>
      </c>
      <c r="D24" s="211"/>
      <c r="E24" s="211"/>
      <c r="F24" s="211"/>
      <c r="G24" s="211"/>
      <c r="H24" s="39">
        <v>20510</v>
      </c>
      <c r="I24" s="186">
        <v>20599</v>
      </c>
      <c r="J24" s="39">
        <v>17684</v>
      </c>
      <c r="K24" s="39">
        <v>6101</v>
      </c>
      <c r="L24" s="103">
        <v>43016.02</v>
      </c>
      <c r="M24" s="103">
        <v>4042.409999999998</v>
      </c>
      <c r="N24" s="62">
        <v>11058.08</v>
      </c>
      <c r="O24" s="62">
        <v>7596.7</v>
      </c>
      <c r="P24" s="62">
        <v>6328</v>
      </c>
      <c r="Q24" s="498">
        <v>6352.52</v>
      </c>
      <c r="R24" s="481">
        <f t="shared" si="1"/>
        <v>100.38748419721873</v>
      </c>
    </row>
    <row r="25" spans="1:18" ht="15.75" thickBot="1">
      <c r="A25" s="190" t="s">
        <v>276</v>
      </c>
      <c r="B25" s="688" t="s">
        <v>76</v>
      </c>
      <c r="C25" s="681"/>
      <c r="D25" s="212">
        <f>D26</f>
        <v>86802</v>
      </c>
      <c r="E25" s="212">
        <f>E26</f>
        <v>77342</v>
      </c>
      <c r="F25" s="212">
        <f>F26</f>
        <v>79566</v>
      </c>
      <c r="G25" s="212">
        <f>G26</f>
        <v>75201</v>
      </c>
      <c r="H25" s="212">
        <f>H26</f>
        <v>66074</v>
      </c>
      <c r="I25" s="60">
        <f aca="true" t="shared" si="5" ref="I25:Q25">I26</f>
        <v>84841</v>
      </c>
      <c r="J25" s="60">
        <f t="shared" si="5"/>
        <v>92558</v>
      </c>
      <c r="K25" s="60">
        <f t="shared" si="5"/>
        <v>89614</v>
      </c>
      <c r="L25" s="192">
        <f>L26</f>
        <v>87966.26</v>
      </c>
      <c r="M25" s="192">
        <f t="shared" si="5"/>
        <v>89070.75</v>
      </c>
      <c r="N25" s="94">
        <f t="shared" si="5"/>
        <v>84152.6</v>
      </c>
      <c r="O25" s="94">
        <f t="shared" si="5"/>
        <v>63074.71</v>
      </c>
      <c r="P25" s="94">
        <f t="shared" si="5"/>
        <v>65000</v>
      </c>
      <c r="Q25" s="454">
        <f t="shared" si="5"/>
        <v>62531</v>
      </c>
      <c r="R25" s="566">
        <f t="shared" si="1"/>
        <v>96.20153846153846</v>
      </c>
    </row>
    <row r="26" spans="1:18" ht="13.5" thickBot="1">
      <c r="A26" s="213"/>
      <c r="B26" s="214">
        <v>630</v>
      </c>
      <c r="C26" s="215" t="s">
        <v>277</v>
      </c>
      <c r="D26" s="216">
        <v>86802</v>
      </c>
      <c r="E26" s="216">
        <v>77342</v>
      </c>
      <c r="F26" s="216">
        <v>79566</v>
      </c>
      <c r="G26" s="216">
        <v>75201</v>
      </c>
      <c r="H26" s="216">
        <v>66074</v>
      </c>
      <c r="I26" s="128">
        <v>84841</v>
      </c>
      <c r="J26" s="128">
        <v>92558</v>
      </c>
      <c r="K26" s="73">
        <v>89614</v>
      </c>
      <c r="L26" s="103">
        <v>87966.26</v>
      </c>
      <c r="M26" s="103">
        <v>89070.75</v>
      </c>
      <c r="N26" s="62">
        <v>84152.6</v>
      </c>
      <c r="O26" s="62">
        <v>63074.71</v>
      </c>
      <c r="P26" s="62">
        <v>65000</v>
      </c>
      <c r="Q26" s="533">
        <v>62531</v>
      </c>
      <c r="R26" s="567">
        <f t="shared" si="1"/>
        <v>96.20153846153846</v>
      </c>
    </row>
    <row r="27" spans="1:18" ht="15.75" thickBot="1">
      <c r="A27" s="190" t="s">
        <v>278</v>
      </c>
      <c r="B27" s="688" t="s">
        <v>279</v>
      </c>
      <c r="C27" s="681"/>
      <c r="D27" s="212">
        <f>D28</f>
        <v>0</v>
      </c>
      <c r="E27" s="212">
        <f>E28</f>
        <v>1826</v>
      </c>
      <c r="F27" s="212">
        <f>F28</f>
        <v>66</v>
      </c>
      <c r="G27" s="212">
        <f>G28</f>
        <v>770</v>
      </c>
      <c r="H27" s="212">
        <f>H28</f>
        <v>2589</v>
      </c>
      <c r="I27" s="60">
        <f aca="true" t="shared" si="6" ref="I27:Q27">I28</f>
        <v>366</v>
      </c>
      <c r="J27" s="60">
        <f t="shared" si="6"/>
        <v>274</v>
      </c>
      <c r="K27" s="60">
        <f t="shared" si="6"/>
        <v>464</v>
      </c>
      <c r="L27" s="60">
        <f t="shared" si="6"/>
        <v>276.29</v>
      </c>
      <c r="M27" s="192">
        <f t="shared" si="6"/>
        <v>34.4</v>
      </c>
      <c r="N27" s="94">
        <f t="shared" si="6"/>
        <v>81.5</v>
      </c>
      <c r="O27" s="94">
        <f t="shared" si="6"/>
        <v>1.5</v>
      </c>
      <c r="P27" s="94">
        <f t="shared" si="6"/>
        <v>500</v>
      </c>
      <c r="Q27" s="454">
        <f t="shared" si="6"/>
        <v>1.5</v>
      </c>
      <c r="R27" s="566">
        <f t="shared" si="1"/>
        <v>0.3</v>
      </c>
    </row>
    <row r="28" spans="1:21" ht="13.5" thickBot="1">
      <c r="A28" s="217"/>
      <c r="B28" s="218"/>
      <c r="C28" s="215" t="s">
        <v>280</v>
      </c>
      <c r="D28" s="216">
        <v>0</v>
      </c>
      <c r="E28" s="216">
        <v>1826</v>
      </c>
      <c r="F28" s="216">
        <v>66</v>
      </c>
      <c r="G28" s="216">
        <v>770</v>
      </c>
      <c r="H28" s="216">
        <v>2589</v>
      </c>
      <c r="I28" s="128">
        <v>366</v>
      </c>
      <c r="J28" s="128">
        <v>274</v>
      </c>
      <c r="K28" s="73">
        <v>464</v>
      </c>
      <c r="L28" s="103">
        <v>276.29</v>
      </c>
      <c r="M28" s="103">
        <v>34.4</v>
      </c>
      <c r="N28" s="62">
        <v>81.5</v>
      </c>
      <c r="O28" s="62">
        <v>1.5</v>
      </c>
      <c r="P28" s="62">
        <v>500</v>
      </c>
      <c r="Q28" s="529">
        <v>1.5</v>
      </c>
      <c r="R28" s="485">
        <f t="shared" si="1"/>
        <v>0.3</v>
      </c>
      <c r="U28" s="539"/>
    </row>
    <row r="29" spans="1:18" ht="15.75" thickBot="1">
      <c r="A29" s="190" t="s">
        <v>82</v>
      </c>
      <c r="B29" s="688" t="s">
        <v>281</v>
      </c>
      <c r="C29" s="681"/>
      <c r="D29" s="191">
        <v>80362</v>
      </c>
      <c r="E29" s="191">
        <v>93674</v>
      </c>
      <c r="F29" s="191">
        <v>104461</v>
      </c>
      <c r="G29" s="191">
        <v>126342</v>
      </c>
      <c r="H29" s="60">
        <f>SUM(H30:H32)</f>
        <v>137485</v>
      </c>
      <c r="I29" s="60">
        <f>SUM(I30:I32)</f>
        <v>141454</v>
      </c>
      <c r="J29" s="60">
        <f>SUM(J30:J32)</f>
        <v>150296</v>
      </c>
      <c r="K29" s="60">
        <f>SUM(K30:K32)</f>
        <v>153336</v>
      </c>
      <c r="L29" s="192">
        <f aca="true" t="shared" si="7" ref="L29:Q29">SUM(L30:L33)</f>
        <v>153063.15</v>
      </c>
      <c r="M29" s="192">
        <f t="shared" si="7"/>
        <v>160199.88999999998</v>
      </c>
      <c r="N29" s="94">
        <f t="shared" si="7"/>
        <v>160815.16</v>
      </c>
      <c r="O29" s="94">
        <f t="shared" si="7"/>
        <v>182466.47</v>
      </c>
      <c r="P29" s="94">
        <f t="shared" si="7"/>
        <v>194609</v>
      </c>
      <c r="Q29" s="454">
        <f t="shared" si="7"/>
        <v>205874.57</v>
      </c>
      <c r="R29" s="566">
        <f t="shared" si="1"/>
        <v>105.78882271631838</v>
      </c>
    </row>
    <row r="30" spans="1:18" ht="12.75">
      <c r="A30" s="689"/>
      <c r="B30" s="207">
        <v>610</v>
      </c>
      <c r="C30" s="36" t="s">
        <v>264</v>
      </c>
      <c r="D30" s="141"/>
      <c r="E30" s="141">
        <v>56762</v>
      </c>
      <c r="F30" s="141">
        <v>60944</v>
      </c>
      <c r="G30" s="141">
        <v>75340</v>
      </c>
      <c r="H30" s="141">
        <v>84414</v>
      </c>
      <c r="I30" s="36">
        <v>89012</v>
      </c>
      <c r="J30" s="37">
        <v>92984</v>
      </c>
      <c r="K30" s="37">
        <v>93001</v>
      </c>
      <c r="L30" s="134">
        <v>93672.78</v>
      </c>
      <c r="M30" s="134">
        <v>102320.64</v>
      </c>
      <c r="N30" s="84">
        <v>102319.48</v>
      </c>
      <c r="O30" s="84">
        <v>109786.57</v>
      </c>
      <c r="P30" s="84">
        <v>120391</v>
      </c>
      <c r="Q30" s="530">
        <v>123486.16</v>
      </c>
      <c r="R30" s="483">
        <f t="shared" si="1"/>
        <v>102.5709230756452</v>
      </c>
    </row>
    <row r="31" spans="1:18" ht="12.75">
      <c r="A31" s="690"/>
      <c r="B31" s="208">
        <v>620</v>
      </c>
      <c r="C31" s="38" t="s">
        <v>265</v>
      </c>
      <c r="D31" s="219"/>
      <c r="E31" s="219">
        <v>20315</v>
      </c>
      <c r="F31" s="219">
        <v>21709</v>
      </c>
      <c r="G31" s="219">
        <v>27650</v>
      </c>
      <c r="H31" s="219">
        <v>30919</v>
      </c>
      <c r="I31" s="38">
        <v>32877</v>
      </c>
      <c r="J31" s="39">
        <v>34488</v>
      </c>
      <c r="K31" s="39">
        <v>34548</v>
      </c>
      <c r="L31" s="101">
        <v>37213.83</v>
      </c>
      <c r="M31" s="101">
        <v>35543.37</v>
      </c>
      <c r="N31" s="24">
        <v>37856.52</v>
      </c>
      <c r="O31" s="24">
        <v>40417.53</v>
      </c>
      <c r="P31" s="24">
        <v>44318</v>
      </c>
      <c r="Q31" s="531">
        <v>45335.28</v>
      </c>
      <c r="R31" s="479">
        <f t="shared" si="1"/>
        <v>102.29541044270951</v>
      </c>
    </row>
    <row r="32" spans="1:18" ht="12.75">
      <c r="A32" s="690"/>
      <c r="B32" s="208">
        <v>630</v>
      </c>
      <c r="C32" s="38" t="s">
        <v>266</v>
      </c>
      <c r="D32" s="219"/>
      <c r="E32" s="219">
        <v>16597</v>
      </c>
      <c r="F32" s="219">
        <v>21078</v>
      </c>
      <c r="G32" s="219">
        <v>23021</v>
      </c>
      <c r="H32" s="219">
        <f>22134+18</f>
        <v>22152</v>
      </c>
      <c r="I32" s="38">
        <v>19565</v>
      </c>
      <c r="J32" s="39">
        <v>22824</v>
      </c>
      <c r="K32" s="39">
        <v>25787</v>
      </c>
      <c r="L32" s="101">
        <v>22014.74</v>
      </c>
      <c r="M32" s="101">
        <v>22171.17</v>
      </c>
      <c r="N32" s="24">
        <v>20256.81</v>
      </c>
      <c r="O32" s="24">
        <v>29552.34</v>
      </c>
      <c r="P32" s="24">
        <v>29900</v>
      </c>
      <c r="Q32" s="531">
        <v>36953.13</v>
      </c>
      <c r="R32" s="479">
        <f t="shared" si="1"/>
        <v>123.5890635451505</v>
      </c>
    </row>
    <row r="33" spans="1:18" ht="13.5" thickBot="1">
      <c r="A33" s="691"/>
      <c r="B33" s="208">
        <v>650</v>
      </c>
      <c r="C33" s="38" t="s">
        <v>282</v>
      </c>
      <c r="D33" s="216"/>
      <c r="E33" s="216"/>
      <c r="F33" s="216"/>
      <c r="G33" s="216"/>
      <c r="H33" s="216"/>
      <c r="I33" s="128"/>
      <c r="J33" s="128"/>
      <c r="K33" s="220"/>
      <c r="L33" s="103">
        <v>161.8</v>
      </c>
      <c r="M33" s="103">
        <v>164.71</v>
      </c>
      <c r="N33" s="62">
        <v>382.35</v>
      </c>
      <c r="O33" s="62">
        <v>2710.03</v>
      </c>
      <c r="P33" s="103"/>
      <c r="Q33" s="498">
        <v>100</v>
      </c>
      <c r="R33" s="481">
        <f t="shared" si="1"/>
        <v>0</v>
      </c>
    </row>
    <row r="34" spans="1:21" ht="15.75" thickBot="1">
      <c r="A34" s="190" t="s">
        <v>283</v>
      </c>
      <c r="B34" s="688" t="s">
        <v>284</v>
      </c>
      <c r="C34" s="681"/>
      <c r="D34" s="212">
        <f>D35</f>
        <v>1328</v>
      </c>
      <c r="E34" s="212">
        <f>E35</f>
        <v>332</v>
      </c>
      <c r="F34" s="212">
        <f>F35</f>
        <v>797</v>
      </c>
      <c r="G34" s="212">
        <f>G35</f>
        <v>3524</v>
      </c>
      <c r="H34" s="212">
        <f>H35</f>
        <v>112</v>
      </c>
      <c r="I34" s="60">
        <f aca="true" t="shared" si="8" ref="I34:Q34">I35</f>
        <v>600</v>
      </c>
      <c r="J34" s="60">
        <f t="shared" si="8"/>
        <v>1028</v>
      </c>
      <c r="K34" s="60">
        <f t="shared" si="8"/>
        <v>1230</v>
      </c>
      <c r="L34" s="192">
        <f t="shared" si="8"/>
        <v>600</v>
      </c>
      <c r="M34" s="192">
        <f t="shared" si="8"/>
        <v>1048.67</v>
      </c>
      <c r="N34" s="94">
        <f t="shared" si="8"/>
        <v>1510.99</v>
      </c>
      <c r="O34" s="94">
        <f t="shared" si="8"/>
        <v>1870</v>
      </c>
      <c r="P34" s="94">
        <f t="shared" si="8"/>
        <v>2000</v>
      </c>
      <c r="Q34" s="454">
        <f t="shared" si="8"/>
        <v>2000</v>
      </c>
      <c r="R34" s="566">
        <f t="shared" si="1"/>
        <v>100</v>
      </c>
      <c r="U34" s="539"/>
    </row>
    <row r="35" spans="1:18" ht="13.5" thickBot="1">
      <c r="A35" s="217"/>
      <c r="B35" s="221"/>
      <c r="C35" s="222" t="s">
        <v>285</v>
      </c>
      <c r="D35" s="223">
        <v>1328</v>
      </c>
      <c r="E35" s="223">
        <v>332</v>
      </c>
      <c r="F35" s="223">
        <v>797</v>
      </c>
      <c r="G35" s="223">
        <v>3524</v>
      </c>
      <c r="H35" s="223">
        <v>112</v>
      </c>
      <c r="I35" s="102">
        <v>600</v>
      </c>
      <c r="J35" s="102">
        <v>1028</v>
      </c>
      <c r="K35" s="73">
        <v>1230</v>
      </c>
      <c r="L35" s="224">
        <v>600</v>
      </c>
      <c r="M35" s="224">
        <v>1048.67</v>
      </c>
      <c r="N35" s="12">
        <v>1510.99</v>
      </c>
      <c r="O35" s="12">
        <v>1870</v>
      </c>
      <c r="P35" s="12">
        <v>2000</v>
      </c>
      <c r="Q35" s="529">
        <v>2000</v>
      </c>
      <c r="R35" s="485">
        <f t="shared" si="1"/>
        <v>100</v>
      </c>
    </row>
    <row r="36" spans="1:18" ht="15.75" thickBot="1">
      <c r="A36" s="226" t="s">
        <v>286</v>
      </c>
      <c r="B36" s="688" t="s">
        <v>287</v>
      </c>
      <c r="C36" s="681"/>
      <c r="D36" s="191">
        <v>64894</v>
      </c>
      <c r="E36" s="191">
        <v>59384</v>
      </c>
      <c r="F36" s="191">
        <v>62471</v>
      </c>
      <c r="G36" s="191">
        <v>47851</v>
      </c>
      <c r="H36" s="14">
        <f>SUM(H37:H39)</f>
        <v>43042</v>
      </c>
      <c r="I36" s="14">
        <f>SUM(I37:I39)</f>
        <v>42993</v>
      </c>
      <c r="J36" s="14">
        <f>SUM(J37:J39)</f>
        <v>45897</v>
      </c>
      <c r="K36" s="14">
        <f aca="true" t="shared" si="9" ref="K36:Q36">SUM(K37:K40)</f>
        <v>45604</v>
      </c>
      <c r="L36" s="227">
        <f t="shared" si="9"/>
        <v>70768.37</v>
      </c>
      <c r="M36" s="227">
        <f t="shared" si="9"/>
        <v>57765.42</v>
      </c>
      <c r="N36" s="424">
        <f t="shared" si="9"/>
        <v>67218.58</v>
      </c>
      <c r="O36" s="424">
        <f t="shared" si="9"/>
        <v>62580.25</v>
      </c>
      <c r="P36" s="424">
        <f t="shared" si="9"/>
        <v>57299</v>
      </c>
      <c r="Q36" s="615">
        <f t="shared" si="9"/>
        <v>56922.689999999995</v>
      </c>
      <c r="R36" s="568">
        <f t="shared" si="1"/>
        <v>99.34325206373583</v>
      </c>
    </row>
    <row r="37" spans="1:18" ht="12.75">
      <c r="A37" s="689"/>
      <c r="B37" s="207">
        <v>610</v>
      </c>
      <c r="C37" s="36" t="s">
        <v>264</v>
      </c>
      <c r="D37" s="141"/>
      <c r="E37" s="141"/>
      <c r="F37" s="141"/>
      <c r="G37" s="141"/>
      <c r="H37" s="141">
        <v>19662</v>
      </c>
      <c r="I37" s="36">
        <v>20165</v>
      </c>
      <c r="J37" s="37">
        <v>21683</v>
      </c>
      <c r="K37" s="37">
        <v>23558</v>
      </c>
      <c r="L37" s="181">
        <v>34957.48</v>
      </c>
      <c r="M37" s="181">
        <v>28518.63</v>
      </c>
      <c r="N37" s="84">
        <v>34041.99</v>
      </c>
      <c r="O37" s="84">
        <v>33212</v>
      </c>
      <c r="P37" s="84">
        <v>25011</v>
      </c>
      <c r="Q37" s="506">
        <v>33912.11</v>
      </c>
      <c r="R37" s="569">
        <f t="shared" si="1"/>
        <v>135.588780936388</v>
      </c>
    </row>
    <row r="38" spans="1:18" ht="12.75">
      <c r="A38" s="690"/>
      <c r="B38" s="208">
        <v>620</v>
      </c>
      <c r="C38" s="38" t="s">
        <v>265</v>
      </c>
      <c r="D38" s="219"/>
      <c r="E38" s="219"/>
      <c r="F38" s="219"/>
      <c r="G38" s="219"/>
      <c r="H38" s="219">
        <v>6810</v>
      </c>
      <c r="I38" s="38">
        <v>7285</v>
      </c>
      <c r="J38" s="39">
        <v>7713</v>
      </c>
      <c r="K38" s="39">
        <v>8188</v>
      </c>
      <c r="L38" s="183">
        <v>13167.56</v>
      </c>
      <c r="M38" s="183">
        <v>9242.21</v>
      </c>
      <c r="N38" s="24">
        <v>11670.69</v>
      </c>
      <c r="O38" s="24">
        <v>11626.24</v>
      </c>
      <c r="P38" s="24">
        <v>12288</v>
      </c>
      <c r="Q38" s="531">
        <v>11789.54</v>
      </c>
      <c r="R38" s="479">
        <f t="shared" si="1"/>
        <v>95.94352213541667</v>
      </c>
    </row>
    <row r="39" spans="1:18" ht="12.75">
      <c r="A39" s="690"/>
      <c r="B39" s="208">
        <v>630</v>
      </c>
      <c r="C39" s="38" t="s">
        <v>266</v>
      </c>
      <c r="D39" s="219"/>
      <c r="E39" s="219"/>
      <c r="F39" s="219"/>
      <c r="G39" s="219"/>
      <c r="H39" s="219">
        <v>16570</v>
      </c>
      <c r="I39" s="38">
        <v>15543</v>
      </c>
      <c r="J39" s="39">
        <v>16501</v>
      </c>
      <c r="K39" s="39">
        <v>13727</v>
      </c>
      <c r="L39" s="183">
        <v>20379.17</v>
      </c>
      <c r="M39" s="183">
        <v>19888.42</v>
      </c>
      <c r="N39" s="24">
        <v>21248.55</v>
      </c>
      <c r="O39" s="24">
        <v>16832.53</v>
      </c>
      <c r="P39" s="24">
        <v>20000</v>
      </c>
      <c r="Q39" s="531">
        <v>11149.41</v>
      </c>
      <c r="R39" s="479">
        <f t="shared" si="1"/>
        <v>55.74705</v>
      </c>
    </row>
    <row r="40" spans="1:18" ht="13.5" thickBot="1">
      <c r="A40" s="691"/>
      <c r="B40" s="228">
        <v>640</v>
      </c>
      <c r="C40" s="238" t="s">
        <v>267</v>
      </c>
      <c r="D40" s="239"/>
      <c r="E40" s="239"/>
      <c r="F40" s="239"/>
      <c r="G40" s="239"/>
      <c r="H40" s="239"/>
      <c r="I40" s="102"/>
      <c r="J40" s="54"/>
      <c r="K40" s="54">
        <v>131</v>
      </c>
      <c r="L40" s="189">
        <v>2264.16</v>
      </c>
      <c r="M40" s="189">
        <v>116.16</v>
      </c>
      <c r="N40" s="68">
        <v>257.35</v>
      </c>
      <c r="O40" s="68">
        <v>909.48</v>
      </c>
      <c r="P40" s="68"/>
      <c r="Q40" s="516">
        <v>71.63</v>
      </c>
      <c r="R40" s="487">
        <f t="shared" si="1"/>
        <v>0</v>
      </c>
    </row>
    <row r="41" spans="1:18" ht="15.75" thickBot="1">
      <c r="A41" s="190" t="s">
        <v>288</v>
      </c>
      <c r="B41" s="688" t="s">
        <v>289</v>
      </c>
      <c r="C41" s="681"/>
      <c r="D41" s="212">
        <f>D42</f>
        <v>0</v>
      </c>
      <c r="E41" s="212">
        <f>E42</f>
        <v>0</v>
      </c>
      <c r="F41" s="212">
        <f>F42</f>
        <v>0</v>
      </c>
      <c r="G41" s="212">
        <f>G42</f>
        <v>66</v>
      </c>
      <c r="H41" s="212">
        <f>H42</f>
        <v>175</v>
      </c>
      <c r="I41" s="60">
        <f aca="true" t="shared" si="10" ref="I41:Q41">I42</f>
        <v>269</v>
      </c>
      <c r="J41" s="60">
        <f t="shared" si="10"/>
        <v>182</v>
      </c>
      <c r="K41" s="60">
        <f t="shared" si="10"/>
        <v>104</v>
      </c>
      <c r="L41" s="192">
        <f t="shared" si="10"/>
        <v>169.4</v>
      </c>
      <c r="M41" s="192">
        <f t="shared" si="10"/>
        <v>87.6</v>
      </c>
      <c r="N41" s="94">
        <f t="shared" si="10"/>
        <v>40.1</v>
      </c>
      <c r="O41" s="94">
        <f t="shared" si="10"/>
        <v>0</v>
      </c>
      <c r="P41" s="94">
        <f t="shared" si="10"/>
        <v>200</v>
      </c>
      <c r="Q41" s="454">
        <f t="shared" si="10"/>
        <v>69.25</v>
      </c>
      <c r="R41" s="566">
        <f t="shared" si="1"/>
        <v>34.625</v>
      </c>
    </row>
    <row r="42" spans="1:18" ht="13.5" thickBot="1">
      <c r="A42" s="287"/>
      <c r="B42" s="288">
        <v>640</v>
      </c>
      <c r="C42" s="66" t="s">
        <v>290</v>
      </c>
      <c r="D42" s="517"/>
      <c r="E42" s="517"/>
      <c r="F42" s="517"/>
      <c r="G42" s="517">
        <v>66</v>
      </c>
      <c r="H42" s="517">
        <v>175</v>
      </c>
      <c r="I42" s="66">
        <v>269</v>
      </c>
      <c r="J42" s="66">
        <v>182</v>
      </c>
      <c r="K42" s="66">
        <v>104</v>
      </c>
      <c r="L42" s="518">
        <v>169.4</v>
      </c>
      <c r="M42" s="224">
        <v>87.6</v>
      </c>
      <c r="N42" s="12">
        <v>40.1</v>
      </c>
      <c r="O42" s="12"/>
      <c r="P42" s="12">
        <v>200</v>
      </c>
      <c r="Q42" s="529">
        <v>69.25</v>
      </c>
      <c r="R42" s="485">
        <f t="shared" si="1"/>
        <v>34.625</v>
      </c>
    </row>
    <row r="43" spans="1:18" ht="15.75" thickBot="1">
      <c r="A43" s="190" t="s">
        <v>77</v>
      </c>
      <c r="B43" s="688" t="s">
        <v>80</v>
      </c>
      <c r="C43" s="681"/>
      <c r="D43" s="191">
        <v>29310</v>
      </c>
      <c r="E43" s="191">
        <v>30173</v>
      </c>
      <c r="F43" s="191">
        <v>33061</v>
      </c>
      <c r="G43" s="191">
        <v>31215</v>
      </c>
      <c r="H43" s="14">
        <f aca="true" t="shared" si="11" ref="H43:M43">SUM(H44:H46)</f>
        <v>30188</v>
      </c>
      <c r="I43" s="14">
        <f t="shared" si="11"/>
        <v>30251</v>
      </c>
      <c r="J43" s="14">
        <f t="shared" si="11"/>
        <v>29902</v>
      </c>
      <c r="K43" s="14">
        <f t="shared" si="11"/>
        <v>27922</v>
      </c>
      <c r="L43" s="14">
        <f t="shared" si="11"/>
        <v>26736.059999999998</v>
      </c>
      <c r="M43" s="227">
        <f t="shared" si="11"/>
        <v>31580.040000000005</v>
      </c>
      <c r="N43" s="424">
        <f>SUM(N44:N46)</f>
        <v>36470.850000000006</v>
      </c>
      <c r="O43" s="424">
        <f>SUM(O44:O48)</f>
        <v>54203.55</v>
      </c>
      <c r="P43" s="424">
        <f>SUM(P44:P48)</f>
        <v>85118</v>
      </c>
      <c r="Q43" s="615">
        <f>SUM(Q44:Q48)</f>
        <v>87006.54</v>
      </c>
      <c r="R43" s="568">
        <f t="shared" si="1"/>
        <v>102.21873164313071</v>
      </c>
    </row>
    <row r="44" spans="1:18" ht="12.75">
      <c r="A44" s="689"/>
      <c r="B44" s="180">
        <v>610</v>
      </c>
      <c r="C44" s="36" t="s">
        <v>264</v>
      </c>
      <c r="D44" s="141"/>
      <c r="E44" s="141">
        <v>17128</v>
      </c>
      <c r="F44" s="141">
        <v>19186</v>
      </c>
      <c r="G44" s="141">
        <v>18647</v>
      </c>
      <c r="H44" s="141">
        <v>19330</v>
      </c>
      <c r="I44" s="36">
        <v>19430</v>
      </c>
      <c r="J44" s="37">
        <v>19249</v>
      </c>
      <c r="K44" s="37">
        <v>18860</v>
      </c>
      <c r="L44" s="134">
        <v>17749.95</v>
      </c>
      <c r="M44" s="134">
        <v>21482.58</v>
      </c>
      <c r="N44" s="84">
        <v>23137.49</v>
      </c>
      <c r="O44" s="84">
        <v>24187.48</v>
      </c>
      <c r="P44" s="84">
        <v>29340</v>
      </c>
      <c r="Q44" s="506">
        <v>31091.66</v>
      </c>
      <c r="R44" s="569">
        <f t="shared" si="1"/>
        <v>105.97021131561009</v>
      </c>
    </row>
    <row r="45" spans="1:18" ht="12.75">
      <c r="A45" s="690"/>
      <c r="B45" s="182">
        <v>620</v>
      </c>
      <c r="C45" s="38" t="s">
        <v>265</v>
      </c>
      <c r="D45" s="219"/>
      <c r="E45" s="219">
        <v>6174</v>
      </c>
      <c r="F45" s="219">
        <v>6440</v>
      </c>
      <c r="G45" s="219">
        <v>6250</v>
      </c>
      <c r="H45" s="219">
        <v>6780</v>
      </c>
      <c r="I45" s="38">
        <v>6793</v>
      </c>
      <c r="J45" s="39">
        <v>6741</v>
      </c>
      <c r="K45" s="39">
        <v>6528</v>
      </c>
      <c r="L45" s="101">
        <v>6227.83</v>
      </c>
      <c r="M45" s="101">
        <v>7544.26</v>
      </c>
      <c r="N45" s="24">
        <v>8118.17</v>
      </c>
      <c r="O45" s="24">
        <v>8499.7</v>
      </c>
      <c r="P45" s="24">
        <v>11073</v>
      </c>
      <c r="Q45" s="531">
        <v>10918.71</v>
      </c>
      <c r="R45" s="479">
        <f t="shared" si="1"/>
        <v>98.60661067461392</v>
      </c>
    </row>
    <row r="46" spans="1:18" ht="12.75">
      <c r="A46" s="690"/>
      <c r="B46" s="182">
        <v>630</v>
      </c>
      <c r="C46" s="38" t="s">
        <v>266</v>
      </c>
      <c r="D46" s="219"/>
      <c r="E46" s="219">
        <v>6871</v>
      </c>
      <c r="F46" s="219">
        <v>7435</v>
      </c>
      <c r="G46" s="219">
        <v>6318</v>
      </c>
      <c r="H46" s="219">
        <v>4078</v>
      </c>
      <c r="I46" s="38">
        <v>4028</v>
      </c>
      <c r="J46" s="39">
        <v>3912</v>
      </c>
      <c r="K46" s="39">
        <f>27588-25054</f>
        <v>2534</v>
      </c>
      <c r="L46" s="101">
        <v>2758.28</v>
      </c>
      <c r="M46" s="101">
        <v>2553.2</v>
      </c>
      <c r="N46" s="24">
        <v>5215.19</v>
      </c>
      <c r="O46" s="24">
        <v>7214.150000000001</v>
      </c>
      <c r="P46" s="24">
        <v>2800</v>
      </c>
      <c r="Q46" s="531">
        <f>44996.17-41722.56</f>
        <v>3273.6100000000006</v>
      </c>
      <c r="R46" s="479">
        <f t="shared" si="1"/>
        <v>116.91464285714288</v>
      </c>
    </row>
    <row r="47" spans="1:18" ht="12.75">
      <c r="A47" s="690"/>
      <c r="B47" s="561">
        <v>630</v>
      </c>
      <c r="C47" s="42" t="s">
        <v>343</v>
      </c>
      <c r="D47" s="562"/>
      <c r="E47" s="562"/>
      <c r="F47" s="562"/>
      <c r="G47" s="562"/>
      <c r="H47" s="562"/>
      <c r="I47" s="42"/>
      <c r="J47" s="65"/>
      <c r="K47" s="65"/>
      <c r="L47" s="229"/>
      <c r="M47" s="229"/>
      <c r="N47" s="27"/>
      <c r="O47" s="27"/>
      <c r="P47" s="27">
        <v>41905</v>
      </c>
      <c r="Q47" s="498">
        <v>41722.56</v>
      </c>
      <c r="R47" s="479">
        <f t="shared" si="1"/>
        <v>99.56463429185061</v>
      </c>
    </row>
    <row r="48" spans="1:18" ht="13.5" thickBot="1">
      <c r="A48" s="691"/>
      <c r="B48" s="303">
        <v>630</v>
      </c>
      <c r="C48" s="41" t="s">
        <v>368</v>
      </c>
      <c r="D48" s="136"/>
      <c r="E48" s="136"/>
      <c r="F48" s="136"/>
      <c r="G48" s="136"/>
      <c r="H48" s="136"/>
      <c r="I48" s="41"/>
      <c r="J48" s="54"/>
      <c r="K48" s="54"/>
      <c r="L48" s="279"/>
      <c r="M48" s="279"/>
      <c r="N48" s="43"/>
      <c r="O48" s="43">
        <v>14302.22</v>
      </c>
      <c r="P48" s="43"/>
      <c r="Q48" s="516"/>
      <c r="R48" s="487">
        <f t="shared" si="1"/>
        <v>0</v>
      </c>
    </row>
    <row r="49" spans="1:18" ht="15.75" thickBot="1">
      <c r="A49" s="190" t="s">
        <v>228</v>
      </c>
      <c r="B49" s="688" t="s">
        <v>230</v>
      </c>
      <c r="C49" s="681"/>
      <c r="D49" s="212">
        <v>13278</v>
      </c>
      <c r="E49" s="212">
        <v>366029</v>
      </c>
      <c r="F49" s="212">
        <v>277733</v>
      </c>
      <c r="G49" s="212">
        <v>398013</v>
      </c>
      <c r="H49" s="212">
        <v>368170</v>
      </c>
      <c r="I49" s="60">
        <f aca="true" t="shared" si="12" ref="I49:Q49">SUM(I50:I54)</f>
        <v>294633</v>
      </c>
      <c r="J49" s="60">
        <f t="shared" si="12"/>
        <v>216960</v>
      </c>
      <c r="K49" s="60">
        <f t="shared" si="12"/>
        <v>236599</v>
      </c>
      <c r="L49" s="192">
        <f t="shared" si="12"/>
        <v>216987.18</v>
      </c>
      <c r="M49" s="192">
        <f t="shared" si="12"/>
        <v>226497.02000000002</v>
      </c>
      <c r="N49" s="94">
        <f t="shared" si="12"/>
        <v>249510.29</v>
      </c>
      <c r="O49" s="94">
        <f t="shared" si="12"/>
        <v>263692.45</v>
      </c>
      <c r="P49" s="94">
        <f t="shared" si="12"/>
        <v>365000</v>
      </c>
      <c r="Q49" s="454">
        <f t="shared" si="12"/>
        <v>362393.4</v>
      </c>
      <c r="R49" s="566">
        <f t="shared" si="1"/>
        <v>99.28586301369864</v>
      </c>
    </row>
    <row r="50" spans="1:18" ht="12.75">
      <c r="A50" s="708"/>
      <c r="B50" s="234">
        <v>640</v>
      </c>
      <c r="C50" s="231" t="s">
        <v>291</v>
      </c>
      <c r="D50" s="232"/>
      <c r="E50" s="232"/>
      <c r="F50" s="232"/>
      <c r="G50" s="232"/>
      <c r="H50" s="232">
        <v>307476</v>
      </c>
      <c r="I50" s="233">
        <v>234550</v>
      </c>
      <c r="J50" s="37">
        <v>150070</v>
      </c>
      <c r="K50" s="37">
        <v>167336</v>
      </c>
      <c r="L50" s="181">
        <v>148104</v>
      </c>
      <c r="M50" s="195">
        <v>157211</v>
      </c>
      <c r="N50" s="126">
        <v>183945</v>
      </c>
      <c r="O50" s="126">
        <v>195464</v>
      </c>
      <c r="P50" s="126">
        <v>263000</v>
      </c>
      <c r="Q50" s="530">
        <v>263000</v>
      </c>
      <c r="R50" s="483">
        <f t="shared" si="1"/>
        <v>100</v>
      </c>
    </row>
    <row r="51" spans="1:18" ht="12.75" hidden="1">
      <c r="A51" s="712"/>
      <c r="B51" s="234">
        <v>640</v>
      </c>
      <c r="C51" s="235" t="s">
        <v>375</v>
      </c>
      <c r="D51" s="236"/>
      <c r="E51" s="236"/>
      <c r="F51" s="236"/>
      <c r="G51" s="236"/>
      <c r="H51" s="236"/>
      <c r="I51" s="237"/>
      <c r="J51" s="51"/>
      <c r="K51" s="51"/>
      <c r="L51" s="105"/>
      <c r="M51" s="115"/>
      <c r="N51" s="20"/>
      <c r="O51" s="20"/>
      <c r="P51" s="20">
        <v>0</v>
      </c>
      <c r="Q51" s="530"/>
      <c r="R51" s="483">
        <f t="shared" si="1"/>
        <v>0</v>
      </c>
    </row>
    <row r="52" spans="1:18" ht="12.75">
      <c r="A52" s="712"/>
      <c r="B52" s="234">
        <v>630</v>
      </c>
      <c r="C52" s="235" t="s">
        <v>229</v>
      </c>
      <c r="D52" s="236"/>
      <c r="E52" s="236"/>
      <c r="F52" s="236"/>
      <c r="G52" s="236"/>
      <c r="H52" s="236">
        <v>9596</v>
      </c>
      <c r="I52" s="237">
        <v>3094</v>
      </c>
      <c r="J52" s="39">
        <v>2060</v>
      </c>
      <c r="K52" s="39">
        <v>1011</v>
      </c>
      <c r="L52" s="105">
        <v>1770</v>
      </c>
      <c r="M52" s="115">
        <v>1790</v>
      </c>
      <c r="N52" s="20">
        <v>1340</v>
      </c>
      <c r="O52" s="20">
        <v>3846.12</v>
      </c>
      <c r="P52" s="20">
        <v>2000</v>
      </c>
      <c r="Q52" s="531">
        <v>1800</v>
      </c>
      <c r="R52" s="479">
        <f t="shared" si="1"/>
        <v>90</v>
      </c>
    </row>
    <row r="53" spans="1:18" ht="12.75">
      <c r="A53" s="712"/>
      <c r="B53" s="234">
        <v>630</v>
      </c>
      <c r="C53" s="235" t="s">
        <v>410</v>
      </c>
      <c r="D53" s="236"/>
      <c r="E53" s="236"/>
      <c r="F53" s="236"/>
      <c r="G53" s="236"/>
      <c r="H53" s="236"/>
      <c r="I53" s="237"/>
      <c r="J53" s="39"/>
      <c r="K53" s="39"/>
      <c r="L53" s="105"/>
      <c r="M53" s="115"/>
      <c r="N53" s="20">
        <v>0</v>
      </c>
      <c r="O53" s="20"/>
      <c r="P53" s="20">
        <v>30000</v>
      </c>
      <c r="Q53" s="531">
        <f>20258.46+4334.86+90+3243.19</f>
        <v>27926.51</v>
      </c>
      <c r="R53" s="479">
        <f t="shared" si="1"/>
        <v>93.08836666666667</v>
      </c>
    </row>
    <row r="54" spans="1:18" ht="13.5" thickBot="1">
      <c r="A54" s="709"/>
      <c r="B54" s="210">
        <v>640</v>
      </c>
      <c r="C54" s="238" t="s">
        <v>292</v>
      </c>
      <c r="D54" s="239"/>
      <c r="E54" s="239"/>
      <c r="F54" s="239"/>
      <c r="G54" s="239"/>
      <c r="H54" s="239">
        <v>49953</v>
      </c>
      <c r="I54" s="240">
        <v>56989</v>
      </c>
      <c r="J54" s="54">
        <v>64830</v>
      </c>
      <c r="K54" s="54">
        <v>68252</v>
      </c>
      <c r="L54" s="189">
        <v>67113.18</v>
      </c>
      <c r="M54" s="241">
        <v>67496.02</v>
      </c>
      <c r="N54" s="74">
        <v>64225.29</v>
      </c>
      <c r="O54" s="74">
        <v>64382.33</v>
      </c>
      <c r="P54" s="74">
        <v>70000</v>
      </c>
      <c r="Q54" s="498">
        <v>69666.89</v>
      </c>
      <c r="R54" s="481">
        <f t="shared" si="1"/>
        <v>99.52412857142858</v>
      </c>
    </row>
    <row r="55" spans="1:18" ht="15.75" thickBot="1">
      <c r="A55" s="242" t="s">
        <v>87</v>
      </c>
      <c r="B55" s="721" t="s">
        <v>88</v>
      </c>
      <c r="C55" s="706"/>
      <c r="D55" s="244">
        <v>33426</v>
      </c>
      <c r="E55" s="244">
        <v>39800</v>
      </c>
      <c r="F55" s="244">
        <v>42953</v>
      </c>
      <c r="G55" s="244">
        <v>66506</v>
      </c>
      <c r="H55" s="244">
        <v>76065</v>
      </c>
      <c r="I55" s="69">
        <f>SUM(I60:I67)+I56</f>
        <v>59613</v>
      </c>
      <c r="J55" s="69">
        <f>SUM(J60:J67)+J56</f>
        <v>58168</v>
      </c>
      <c r="K55" s="69">
        <f>SUM(K60:K67)+K56</f>
        <v>57293</v>
      </c>
      <c r="L55" s="69">
        <f aca="true" t="shared" si="13" ref="L55:Q55">SUM(L60:L68)+L56</f>
        <v>53359.31</v>
      </c>
      <c r="M55" s="70">
        <f t="shared" si="13"/>
        <v>49261.270000000004</v>
      </c>
      <c r="N55" s="368">
        <f t="shared" si="13"/>
        <v>69492.78</v>
      </c>
      <c r="O55" s="368">
        <f t="shared" si="13"/>
        <v>86003.89000000001</v>
      </c>
      <c r="P55" s="368">
        <f>SUM(P60:P68)+P56</f>
        <v>110392</v>
      </c>
      <c r="Q55" s="454">
        <f t="shared" si="13"/>
        <v>106730.37000000001</v>
      </c>
      <c r="R55" s="566">
        <f t="shared" si="1"/>
        <v>96.6830658018697</v>
      </c>
    </row>
    <row r="56" spans="1:18" ht="13.5" thickBot="1">
      <c r="A56" s="710"/>
      <c r="B56" s="742" t="s">
        <v>293</v>
      </c>
      <c r="C56" s="743"/>
      <c r="D56" s="245">
        <v>0</v>
      </c>
      <c r="E56" s="245">
        <v>13477</v>
      </c>
      <c r="F56" s="245">
        <v>15800</v>
      </c>
      <c r="G56" s="245">
        <v>26596</v>
      </c>
      <c r="H56" s="245">
        <v>25323</v>
      </c>
      <c r="I56" s="10">
        <f aca="true" t="shared" si="14" ref="I56:Q56">SUM(I57:I59)</f>
        <v>25388</v>
      </c>
      <c r="J56" s="10">
        <f t="shared" si="14"/>
        <v>23577</v>
      </c>
      <c r="K56" s="10">
        <f t="shared" si="14"/>
        <v>25508</v>
      </c>
      <c r="L56" s="10">
        <f t="shared" si="14"/>
        <v>26966.809999999998</v>
      </c>
      <c r="M56" s="453">
        <f t="shared" si="14"/>
        <v>26493.65</v>
      </c>
      <c r="N56" s="12">
        <f t="shared" si="14"/>
        <v>11116.460000000001</v>
      </c>
      <c r="O56" s="12">
        <f t="shared" si="14"/>
        <v>18582.04</v>
      </c>
      <c r="P56" s="12">
        <f t="shared" si="14"/>
        <v>22786</v>
      </c>
      <c r="Q56" s="225">
        <f t="shared" si="14"/>
        <v>14813.99</v>
      </c>
      <c r="R56" s="570">
        <f t="shared" si="1"/>
        <v>65.01356095848327</v>
      </c>
    </row>
    <row r="57" spans="1:18" ht="12.75">
      <c r="A57" s="713"/>
      <c r="B57" s="246">
        <v>610</v>
      </c>
      <c r="C57" s="19" t="s">
        <v>264</v>
      </c>
      <c r="D57" s="79"/>
      <c r="E57" s="79"/>
      <c r="F57" s="79"/>
      <c r="G57" s="79"/>
      <c r="H57" s="79">
        <v>16865</v>
      </c>
      <c r="I57" s="19">
        <v>17260</v>
      </c>
      <c r="J57" s="37">
        <v>15432</v>
      </c>
      <c r="K57" s="37">
        <v>15427</v>
      </c>
      <c r="L57" s="21">
        <v>14767.98</v>
      </c>
      <c r="M57" s="115">
        <v>15800.44</v>
      </c>
      <c r="N57" s="20">
        <v>9158.78</v>
      </c>
      <c r="O57" s="20">
        <v>10007.84</v>
      </c>
      <c r="P57" s="21">
        <v>11141</v>
      </c>
      <c r="Q57" s="530">
        <v>10778.65</v>
      </c>
      <c r="R57" s="483">
        <f t="shared" si="1"/>
        <v>96.74759895880082</v>
      </c>
    </row>
    <row r="58" spans="1:18" ht="12.75">
      <c r="A58" s="713"/>
      <c r="B58" s="246">
        <v>620</v>
      </c>
      <c r="C58" s="19" t="s">
        <v>265</v>
      </c>
      <c r="D58" s="79"/>
      <c r="E58" s="79"/>
      <c r="F58" s="79"/>
      <c r="G58" s="79"/>
      <c r="H58" s="79">
        <v>6017</v>
      </c>
      <c r="I58" s="19">
        <v>6225</v>
      </c>
      <c r="J58" s="39">
        <v>5547</v>
      </c>
      <c r="K58" s="39">
        <v>5746</v>
      </c>
      <c r="L58" s="21">
        <v>5836.68</v>
      </c>
      <c r="M58" s="115">
        <v>5402.44</v>
      </c>
      <c r="N58" s="20">
        <v>1957.68</v>
      </c>
      <c r="O58" s="20">
        <v>3763.52</v>
      </c>
      <c r="P58" s="21">
        <v>4145</v>
      </c>
      <c r="Q58" s="531">
        <v>4035.34</v>
      </c>
      <c r="R58" s="479">
        <f t="shared" si="1"/>
        <v>97.35440289505428</v>
      </c>
    </row>
    <row r="59" spans="1:18" ht="13.5" thickBot="1">
      <c r="A59" s="713"/>
      <c r="B59" s="247">
        <v>630</v>
      </c>
      <c r="C59" s="72" t="s">
        <v>266</v>
      </c>
      <c r="D59" s="248"/>
      <c r="E59" s="248"/>
      <c r="F59" s="248"/>
      <c r="G59" s="248"/>
      <c r="H59" s="248">
        <v>2441</v>
      </c>
      <c r="I59" s="72">
        <v>1903</v>
      </c>
      <c r="J59" s="54">
        <v>2598</v>
      </c>
      <c r="K59" s="54">
        <v>4335</v>
      </c>
      <c r="L59" s="68">
        <v>6362.15</v>
      </c>
      <c r="M59" s="241">
        <v>5290.77</v>
      </c>
      <c r="N59" s="74"/>
      <c r="O59" s="74">
        <v>4810.68</v>
      </c>
      <c r="P59" s="43">
        <v>7500</v>
      </c>
      <c r="Q59" s="532"/>
      <c r="R59" s="571">
        <f t="shared" si="1"/>
        <v>0</v>
      </c>
    </row>
    <row r="60" spans="1:18" ht="12.75">
      <c r="A60" s="713"/>
      <c r="B60" s="246">
        <v>600</v>
      </c>
      <c r="C60" s="19" t="s">
        <v>294</v>
      </c>
      <c r="D60" s="79"/>
      <c r="E60" s="79"/>
      <c r="F60" s="79"/>
      <c r="G60" s="79"/>
      <c r="H60" s="79"/>
      <c r="I60" s="19">
        <v>9190</v>
      </c>
      <c r="J60" s="79">
        <v>6912</v>
      </c>
      <c r="K60" s="79">
        <v>9446</v>
      </c>
      <c r="L60" s="79">
        <v>4778.18</v>
      </c>
      <c r="M60" s="356">
        <v>8683.39</v>
      </c>
      <c r="N60" s="20">
        <v>34595.32</v>
      </c>
      <c r="O60" s="20">
        <v>40079.16</v>
      </c>
      <c r="P60" s="21">
        <v>47000</v>
      </c>
      <c r="Q60" s="530">
        <v>63662.49</v>
      </c>
      <c r="R60" s="483">
        <f t="shared" si="1"/>
        <v>135.4521063829787</v>
      </c>
    </row>
    <row r="61" spans="1:18" ht="12.75" hidden="1">
      <c r="A61" s="713"/>
      <c r="B61" s="246">
        <v>600</v>
      </c>
      <c r="C61" s="19" t="s">
        <v>295</v>
      </c>
      <c r="D61" s="79"/>
      <c r="E61" s="79"/>
      <c r="F61" s="79"/>
      <c r="G61" s="79"/>
      <c r="H61" s="79"/>
      <c r="I61" s="19">
        <v>2000</v>
      </c>
      <c r="J61" s="79"/>
      <c r="K61" s="79"/>
      <c r="L61" s="79"/>
      <c r="M61" s="437"/>
      <c r="N61" s="20">
        <v>0</v>
      </c>
      <c r="O61" s="20"/>
      <c r="P61" s="24">
        <v>0</v>
      </c>
      <c r="Q61" s="531"/>
      <c r="R61" s="479">
        <f t="shared" si="1"/>
        <v>0</v>
      </c>
    </row>
    <row r="62" spans="1:18" ht="12.75">
      <c r="A62" s="713"/>
      <c r="B62" s="246">
        <v>600</v>
      </c>
      <c r="C62" s="22" t="s">
        <v>296</v>
      </c>
      <c r="D62" s="81"/>
      <c r="E62" s="81"/>
      <c r="F62" s="81"/>
      <c r="G62" s="81"/>
      <c r="H62" s="81"/>
      <c r="I62" s="22">
        <v>10000</v>
      </c>
      <c r="J62" s="81">
        <v>1500</v>
      </c>
      <c r="K62" s="81">
        <v>370</v>
      </c>
      <c r="L62" s="81">
        <v>592.2</v>
      </c>
      <c r="M62" s="451">
        <v>1220</v>
      </c>
      <c r="N62" s="23">
        <v>0</v>
      </c>
      <c r="O62" s="23"/>
      <c r="P62" s="24">
        <v>4000</v>
      </c>
      <c r="Q62" s="531"/>
      <c r="R62" s="479">
        <f t="shared" si="1"/>
        <v>0</v>
      </c>
    </row>
    <row r="63" spans="1:18" ht="12.75">
      <c r="A63" s="713"/>
      <c r="B63" s="246">
        <v>600</v>
      </c>
      <c r="C63" s="22" t="s">
        <v>90</v>
      </c>
      <c r="D63" s="81"/>
      <c r="E63" s="81"/>
      <c r="F63" s="81"/>
      <c r="G63" s="81"/>
      <c r="H63" s="81"/>
      <c r="I63" s="22">
        <v>1871</v>
      </c>
      <c r="J63" s="81">
        <v>2416</v>
      </c>
      <c r="K63" s="81">
        <v>4274</v>
      </c>
      <c r="L63" s="81">
        <v>2000</v>
      </c>
      <c r="M63" s="451">
        <v>3500</v>
      </c>
      <c r="N63" s="23"/>
      <c r="O63" s="23">
        <v>3571.7</v>
      </c>
      <c r="P63" s="24">
        <v>4650</v>
      </c>
      <c r="Q63" s="531"/>
      <c r="R63" s="479">
        <f t="shared" si="1"/>
        <v>0</v>
      </c>
    </row>
    <row r="64" spans="1:18" ht="12.75">
      <c r="A64" s="713"/>
      <c r="B64" s="246">
        <v>600</v>
      </c>
      <c r="C64" s="22" t="s">
        <v>297</v>
      </c>
      <c r="D64" s="81"/>
      <c r="E64" s="81"/>
      <c r="F64" s="81"/>
      <c r="G64" s="81"/>
      <c r="H64" s="81"/>
      <c r="I64" s="22">
        <v>3240</v>
      </c>
      <c r="J64" s="81">
        <v>832</v>
      </c>
      <c r="K64" s="81">
        <v>1493</v>
      </c>
      <c r="L64" s="81">
        <v>1232</v>
      </c>
      <c r="M64" s="451">
        <v>1000</v>
      </c>
      <c r="N64" s="23"/>
      <c r="O64" s="23"/>
      <c r="P64" s="24">
        <v>1000</v>
      </c>
      <c r="Q64" s="531"/>
      <c r="R64" s="479">
        <f>IF(P64=0,0,Q64/P64)*100</f>
        <v>0</v>
      </c>
    </row>
    <row r="65" spans="1:18" ht="13.5" thickBot="1">
      <c r="A65" s="713"/>
      <c r="B65" s="246">
        <v>600</v>
      </c>
      <c r="C65" s="22" t="s">
        <v>231</v>
      </c>
      <c r="D65" s="81"/>
      <c r="E65" s="81"/>
      <c r="F65" s="81"/>
      <c r="G65" s="81"/>
      <c r="H65" s="81"/>
      <c r="I65" s="22">
        <v>7924</v>
      </c>
      <c r="J65" s="81">
        <v>11969</v>
      </c>
      <c r="K65" s="81">
        <v>11202</v>
      </c>
      <c r="L65" s="81">
        <v>15790.12</v>
      </c>
      <c r="M65" s="451">
        <v>6364.23</v>
      </c>
      <c r="N65" s="23">
        <v>23781</v>
      </c>
      <c r="O65" s="23">
        <v>23770.99</v>
      </c>
      <c r="P65" s="24">
        <v>30956</v>
      </c>
      <c r="Q65" s="531">
        <v>28253.89</v>
      </c>
      <c r="R65" s="479">
        <f>IF(P65=0,0,Q65/P65)*100</f>
        <v>91.27112676056338</v>
      </c>
    </row>
    <row r="66" spans="1:18" ht="13.5" hidden="1" thickBot="1">
      <c r="A66" s="713"/>
      <c r="B66" s="246">
        <v>600</v>
      </c>
      <c r="C66" s="22" t="s">
        <v>298</v>
      </c>
      <c r="D66" s="81"/>
      <c r="E66" s="81"/>
      <c r="F66" s="81"/>
      <c r="G66" s="81"/>
      <c r="H66" s="81"/>
      <c r="I66" s="22"/>
      <c r="J66" s="81">
        <v>4512</v>
      </c>
      <c r="K66" s="81">
        <v>5000</v>
      </c>
      <c r="L66" s="81"/>
      <c r="M66" s="249"/>
      <c r="N66" s="26">
        <v>0</v>
      </c>
      <c r="O66" s="26"/>
      <c r="P66" s="107"/>
      <c r="Q66" s="531">
        <v>0</v>
      </c>
      <c r="R66" s="479">
        <f t="shared" si="1"/>
        <v>0</v>
      </c>
    </row>
    <row r="67" spans="1:18" ht="13.5" hidden="1" thickBot="1">
      <c r="A67" s="713"/>
      <c r="B67" s="246">
        <v>600</v>
      </c>
      <c r="C67" s="250" t="s">
        <v>299</v>
      </c>
      <c r="D67" s="81"/>
      <c r="E67" s="81"/>
      <c r="F67" s="81"/>
      <c r="G67" s="81"/>
      <c r="H67" s="81"/>
      <c r="I67" s="22"/>
      <c r="J67" s="81">
        <v>6450</v>
      </c>
      <c r="K67" s="79"/>
      <c r="L67" s="81"/>
      <c r="M67" s="81"/>
      <c r="N67" s="23">
        <v>0</v>
      </c>
      <c r="O67" s="23"/>
      <c r="P67" s="107"/>
      <c r="Q67" s="531">
        <v>0</v>
      </c>
      <c r="R67" s="479">
        <f t="shared" si="1"/>
        <v>0</v>
      </c>
    </row>
    <row r="68" spans="1:18" ht="13.5" hidden="1" thickBot="1">
      <c r="A68" s="711"/>
      <c r="B68" s="251">
        <v>600</v>
      </c>
      <c r="C68" s="41" t="s">
        <v>300</v>
      </c>
      <c r="D68" s="220"/>
      <c r="E68" s="220"/>
      <c r="F68" s="220"/>
      <c r="G68" s="220"/>
      <c r="H68" s="220"/>
      <c r="I68" s="128"/>
      <c r="J68" s="128"/>
      <c r="K68" s="252"/>
      <c r="L68" s="252">
        <v>2000</v>
      </c>
      <c r="M68" s="253">
        <v>2000</v>
      </c>
      <c r="N68" s="254">
        <v>0</v>
      </c>
      <c r="O68" s="254"/>
      <c r="P68" s="537"/>
      <c r="Q68" s="498">
        <v>0</v>
      </c>
      <c r="R68" s="481">
        <f t="shared" si="1"/>
        <v>0</v>
      </c>
    </row>
    <row r="69" spans="1:18" ht="15.75" thickBot="1">
      <c r="A69" s="190" t="s">
        <v>301</v>
      </c>
      <c r="B69" s="688" t="s">
        <v>302</v>
      </c>
      <c r="C69" s="681"/>
      <c r="D69" s="191">
        <v>16132</v>
      </c>
      <c r="E69" s="191">
        <v>16995</v>
      </c>
      <c r="F69" s="191">
        <v>21045</v>
      </c>
      <c r="G69" s="191">
        <v>23225</v>
      </c>
      <c r="H69" s="191">
        <v>22830</v>
      </c>
      <c r="I69" s="255">
        <v>22296</v>
      </c>
      <c r="J69" s="255">
        <v>33352</v>
      </c>
      <c r="K69" s="60">
        <v>37492</v>
      </c>
      <c r="L69" s="192">
        <v>38137.74</v>
      </c>
      <c r="M69" s="454">
        <v>48253.93</v>
      </c>
      <c r="N69" s="94">
        <f>SUM(N70:N72)</f>
        <v>65222.28</v>
      </c>
      <c r="O69" s="94">
        <f>SUM(O70:O72)</f>
        <v>78515.91</v>
      </c>
      <c r="P69" s="94">
        <f>SUM(P70:P72)</f>
        <v>81304</v>
      </c>
      <c r="Q69" s="454">
        <f>SUM(Q70:Q72)</f>
        <v>87575.21</v>
      </c>
      <c r="R69" s="566">
        <f t="shared" si="1"/>
        <v>107.71328593919118</v>
      </c>
    </row>
    <row r="70" spans="1:18" ht="12.75">
      <c r="A70" s="710"/>
      <c r="B70" s="256" t="s">
        <v>303</v>
      </c>
      <c r="C70" s="114" t="s">
        <v>264</v>
      </c>
      <c r="D70" s="194"/>
      <c r="E70" s="194"/>
      <c r="F70" s="194"/>
      <c r="G70" s="194"/>
      <c r="H70" s="194"/>
      <c r="I70" s="114"/>
      <c r="J70" s="114"/>
      <c r="K70" s="77"/>
      <c r="L70" s="77"/>
      <c r="M70" s="20"/>
      <c r="N70" s="20">
        <v>65222.28</v>
      </c>
      <c r="O70" s="20">
        <v>54948.07</v>
      </c>
      <c r="P70" s="20">
        <v>59478</v>
      </c>
      <c r="Q70" s="530">
        <v>60328.94</v>
      </c>
      <c r="R70" s="483">
        <f aca="true" t="shared" si="15" ref="R70:R133">IF(P70=0,0,Q70/P70)*100</f>
        <v>101.43068025152158</v>
      </c>
    </row>
    <row r="71" spans="1:18" ht="12.75">
      <c r="A71" s="713"/>
      <c r="B71" s="257" t="s">
        <v>303</v>
      </c>
      <c r="C71" s="22" t="s">
        <v>265</v>
      </c>
      <c r="D71" s="197"/>
      <c r="E71" s="197"/>
      <c r="F71" s="197"/>
      <c r="G71" s="197"/>
      <c r="H71" s="197"/>
      <c r="I71" s="22"/>
      <c r="J71" s="22"/>
      <c r="K71" s="81"/>
      <c r="L71" s="81"/>
      <c r="M71" s="23"/>
      <c r="N71" s="23"/>
      <c r="O71" s="23">
        <v>17076.54</v>
      </c>
      <c r="P71" s="23">
        <v>21826</v>
      </c>
      <c r="Q71" s="531">
        <v>18947.38</v>
      </c>
      <c r="R71" s="479">
        <f t="shared" si="15"/>
        <v>86.81105104004399</v>
      </c>
    </row>
    <row r="72" spans="1:18" ht="13.5" thickBot="1">
      <c r="A72" s="711"/>
      <c r="B72" s="228">
        <v>600</v>
      </c>
      <c r="C72" s="41" t="s">
        <v>266</v>
      </c>
      <c r="D72" s="136"/>
      <c r="E72" s="136"/>
      <c r="F72" s="136"/>
      <c r="G72" s="136"/>
      <c r="H72" s="136"/>
      <c r="I72" s="41"/>
      <c r="J72" s="41"/>
      <c r="K72" s="54"/>
      <c r="L72" s="54"/>
      <c r="M72" s="43"/>
      <c r="N72" s="43"/>
      <c r="O72" s="43">
        <v>6491.299999999999</v>
      </c>
      <c r="P72" s="43">
        <v>0</v>
      </c>
      <c r="Q72" s="516">
        <f>7880.91+417.98</f>
        <v>8298.89</v>
      </c>
      <c r="R72" s="487">
        <f t="shared" si="15"/>
        <v>0</v>
      </c>
    </row>
    <row r="73" spans="1:21" ht="15.75" thickBot="1">
      <c r="A73" s="190" t="s">
        <v>84</v>
      </c>
      <c r="B73" s="714" t="s">
        <v>85</v>
      </c>
      <c r="C73" s="715"/>
      <c r="D73" s="191">
        <v>1016763</v>
      </c>
      <c r="E73" s="191">
        <v>271062</v>
      </c>
      <c r="F73" s="191">
        <v>471453</v>
      </c>
      <c r="G73" s="191">
        <v>456862</v>
      </c>
      <c r="H73" s="60">
        <f aca="true" t="shared" si="16" ref="H73:N73">SUM(H74:H77)</f>
        <v>440003</v>
      </c>
      <c r="I73" s="60">
        <f t="shared" si="16"/>
        <v>428961</v>
      </c>
      <c r="J73" s="60">
        <f t="shared" si="16"/>
        <v>454364</v>
      </c>
      <c r="K73" s="60">
        <f t="shared" si="16"/>
        <v>445324</v>
      </c>
      <c r="L73" s="192">
        <f>SUM(L74:L77)</f>
        <v>440667.17</v>
      </c>
      <c r="M73" s="192">
        <f t="shared" si="16"/>
        <v>406831.45</v>
      </c>
      <c r="N73" s="94">
        <f t="shared" si="16"/>
        <v>398077.16</v>
      </c>
      <c r="O73" s="94">
        <f>SUM(O74:O77)</f>
        <v>411260.17</v>
      </c>
      <c r="P73" s="94">
        <f>SUM(P74:P77)</f>
        <v>615127</v>
      </c>
      <c r="Q73" s="454">
        <f>SUM(Q74:Q77)</f>
        <v>607295.49</v>
      </c>
      <c r="R73" s="566">
        <f t="shared" si="15"/>
        <v>98.72684665117934</v>
      </c>
      <c r="T73" s="554"/>
      <c r="U73" s="539"/>
    </row>
    <row r="74" spans="1:18" ht="12.75">
      <c r="A74" s="708"/>
      <c r="B74" s="193">
        <v>630</v>
      </c>
      <c r="C74" s="258" t="s">
        <v>373</v>
      </c>
      <c r="D74" s="259"/>
      <c r="E74" s="259"/>
      <c r="F74" s="259"/>
      <c r="G74" s="259"/>
      <c r="H74" s="232">
        <v>4585</v>
      </c>
      <c r="I74" s="260">
        <v>1644</v>
      </c>
      <c r="J74" s="258"/>
      <c r="K74" s="77"/>
      <c r="L74" s="356"/>
      <c r="M74" s="115"/>
      <c r="N74" s="20"/>
      <c r="O74" s="20"/>
      <c r="P74" s="20">
        <v>21227</v>
      </c>
      <c r="Q74" s="530">
        <f>6879.02+11400+3420</f>
        <v>21699.02</v>
      </c>
      <c r="R74" s="483">
        <f t="shared" si="15"/>
        <v>102.22367739200075</v>
      </c>
    </row>
    <row r="75" spans="1:18" ht="12.75">
      <c r="A75" s="712"/>
      <c r="B75" s="257" t="s">
        <v>62</v>
      </c>
      <c r="C75" s="261" t="s">
        <v>304</v>
      </c>
      <c r="D75" s="262"/>
      <c r="E75" s="262"/>
      <c r="F75" s="262"/>
      <c r="G75" s="262"/>
      <c r="H75" s="205">
        <v>7659</v>
      </c>
      <c r="I75" s="263">
        <v>5301</v>
      </c>
      <c r="J75" s="205">
        <v>3974</v>
      </c>
      <c r="K75" s="264">
        <v>3974</v>
      </c>
      <c r="L75" s="147">
        <v>3974.17</v>
      </c>
      <c r="M75" s="118">
        <v>4974.02</v>
      </c>
      <c r="N75" s="23">
        <v>3974.17</v>
      </c>
      <c r="O75" s="23">
        <v>3974.17</v>
      </c>
      <c r="P75" s="23">
        <v>3900</v>
      </c>
      <c r="Q75" s="531">
        <v>3974.17</v>
      </c>
      <c r="R75" s="479">
        <f t="shared" si="15"/>
        <v>101.90179487179488</v>
      </c>
    </row>
    <row r="76" spans="1:18" ht="12.75">
      <c r="A76" s="712"/>
      <c r="B76" s="257" t="s">
        <v>62</v>
      </c>
      <c r="C76" s="261" t="s">
        <v>372</v>
      </c>
      <c r="D76" s="493"/>
      <c r="E76" s="493"/>
      <c r="F76" s="493"/>
      <c r="G76" s="493"/>
      <c r="H76" s="494"/>
      <c r="I76" s="495"/>
      <c r="J76" s="494"/>
      <c r="K76" s="387"/>
      <c r="L76" s="496"/>
      <c r="M76" s="452"/>
      <c r="N76" s="26"/>
      <c r="O76" s="26">
        <v>49000</v>
      </c>
      <c r="P76" s="26">
        <v>98000</v>
      </c>
      <c r="Q76" s="531">
        <v>97445.88</v>
      </c>
      <c r="R76" s="481">
        <f t="shared" si="15"/>
        <v>99.43457142857145</v>
      </c>
    </row>
    <row r="77" spans="1:18" ht="13.5" thickBot="1">
      <c r="A77" s="709"/>
      <c r="B77" s="198">
        <v>640</v>
      </c>
      <c r="C77" s="265" t="s">
        <v>305</v>
      </c>
      <c r="D77" s="54"/>
      <c r="E77" s="54"/>
      <c r="F77" s="54"/>
      <c r="G77" s="54"/>
      <c r="H77" s="136">
        <v>427759</v>
      </c>
      <c r="I77" s="266">
        <v>422016</v>
      </c>
      <c r="J77" s="136">
        <v>450390</v>
      </c>
      <c r="K77" s="267">
        <v>441350</v>
      </c>
      <c r="L77" s="137">
        <v>436693</v>
      </c>
      <c r="M77" s="455">
        <v>401857.43</v>
      </c>
      <c r="N77" s="254">
        <v>394102.99</v>
      </c>
      <c r="O77" s="254">
        <v>358286</v>
      </c>
      <c r="P77" s="254">
        <v>492000</v>
      </c>
      <c r="Q77" s="498">
        <v>484176.42</v>
      </c>
      <c r="R77" s="481">
        <f t="shared" si="15"/>
        <v>98.40984146341462</v>
      </c>
    </row>
    <row r="78" spans="1:18" ht="15.75" hidden="1" thickBot="1">
      <c r="A78" s="268" t="s">
        <v>306</v>
      </c>
      <c r="B78" s="738" t="s">
        <v>227</v>
      </c>
      <c r="C78" s="739"/>
      <c r="D78" s="269"/>
      <c r="E78" s="269"/>
      <c r="F78" s="269"/>
      <c r="G78" s="269"/>
      <c r="H78" s="269"/>
      <c r="I78" s="270">
        <v>0</v>
      </c>
      <c r="J78" s="270">
        <v>0</v>
      </c>
      <c r="K78" s="271">
        <f>K79</f>
        <v>0</v>
      </c>
      <c r="L78" s="272"/>
      <c r="M78" s="271">
        <f>M79</f>
        <v>0</v>
      </c>
      <c r="N78" s="442"/>
      <c r="O78" s="442"/>
      <c r="P78" s="442">
        <v>0</v>
      </c>
      <c r="Q78" s="529">
        <v>0</v>
      </c>
      <c r="R78" s="485">
        <f t="shared" si="15"/>
        <v>0</v>
      </c>
    </row>
    <row r="79" spans="1:18" ht="15.75" hidden="1" thickBot="1">
      <c r="A79" s="209"/>
      <c r="B79" s="247">
        <v>630</v>
      </c>
      <c r="C79" s="273" t="s">
        <v>307</v>
      </c>
      <c r="D79" s="274"/>
      <c r="E79" s="274"/>
      <c r="F79" s="274"/>
      <c r="G79" s="274"/>
      <c r="H79" s="274"/>
      <c r="I79" s="275" t="s">
        <v>308</v>
      </c>
      <c r="J79" s="275" t="s">
        <v>308</v>
      </c>
      <c r="K79" s="248"/>
      <c r="L79" s="241"/>
      <c r="M79" s="74"/>
      <c r="N79" s="74"/>
      <c r="O79" s="74"/>
      <c r="P79" s="74"/>
      <c r="Q79" s="533">
        <v>0</v>
      </c>
      <c r="R79" s="567">
        <f t="shared" si="15"/>
        <v>0</v>
      </c>
    </row>
    <row r="80" spans="1:18" ht="15.75" thickBot="1">
      <c r="A80" s="242" t="s">
        <v>81</v>
      </c>
      <c r="B80" s="740" t="s">
        <v>309</v>
      </c>
      <c r="C80" s="741"/>
      <c r="D80" s="244">
        <v>11817</v>
      </c>
      <c r="E80" s="244">
        <v>11784</v>
      </c>
      <c r="F80" s="244">
        <v>12315</v>
      </c>
      <c r="G80" s="244">
        <v>20259</v>
      </c>
      <c r="H80" s="69">
        <f aca="true" t="shared" si="17" ref="H80:M80">SUM(H81:H84)</f>
        <v>14522</v>
      </c>
      <c r="I80" s="69">
        <f t="shared" si="17"/>
        <v>159820</v>
      </c>
      <c r="J80" s="69">
        <f t="shared" si="17"/>
        <v>64721</v>
      </c>
      <c r="K80" s="69">
        <f t="shared" si="17"/>
        <v>10450</v>
      </c>
      <c r="L80" s="70">
        <f t="shared" si="17"/>
        <v>10682.39</v>
      </c>
      <c r="M80" s="70">
        <f t="shared" si="17"/>
        <v>9819.23</v>
      </c>
      <c r="N80" s="368">
        <f>SUM(N81:N84)</f>
        <v>9873.75</v>
      </c>
      <c r="O80" s="368">
        <f>SUM(O81:O84)</f>
        <v>11427.249999999998</v>
      </c>
      <c r="P80" s="368">
        <f>SUM(P81:P84)</f>
        <v>14163</v>
      </c>
      <c r="Q80" s="454">
        <f>SUM(Q81:Q84)</f>
        <v>14386.410000000002</v>
      </c>
      <c r="R80" s="566">
        <f t="shared" si="15"/>
        <v>101.57742003812753</v>
      </c>
    </row>
    <row r="81" spans="1:18" ht="12.75">
      <c r="A81" s="710"/>
      <c r="B81" s="207">
        <v>610</v>
      </c>
      <c r="C81" s="36" t="s">
        <v>264</v>
      </c>
      <c r="D81" s="141"/>
      <c r="E81" s="141">
        <v>7435</v>
      </c>
      <c r="F81" s="141">
        <v>7170</v>
      </c>
      <c r="G81" s="141">
        <v>13170</v>
      </c>
      <c r="H81" s="141">
        <v>9057</v>
      </c>
      <c r="I81" s="36">
        <v>7158</v>
      </c>
      <c r="J81" s="37">
        <v>7062</v>
      </c>
      <c r="K81" s="37">
        <v>6902</v>
      </c>
      <c r="L81" s="134">
        <v>7013.99</v>
      </c>
      <c r="M81" s="134">
        <v>6670.5</v>
      </c>
      <c r="N81" s="84">
        <v>6756.74</v>
      </c>
      <c r="O81" s="84">
        <v>6231.04</v>
      </c>
      <c r="P81" s="84">
        <v>9626</v>
      </c>
      <c r="Q81" s="530">
        <v>9222.53</v>
      </c>
      <c r="R81" s="483">
        <f t="shared" si="15"/>
        <v>95.80853937253274</v>
      </c>
    </row>
    <row r="82" spans="1:18" ht="12.75">
      <c r="A82" s="713"/>
      <c r="B82" s="208">
        <v>620</v>
      </c>
      <c r="C82" s="38" t="s">
        <v>265</v>
      </c>
      <c r="D82" s="219"/>
      <c r="E82" s="219">
        <v>2722</v>
      </c>
      <c r="F82" s="219">
        <v>2589</v>
      </c>
      <c r="G82" s="219">
        <v>4447</v>
      </c>
      <c r="H82" s="219">
        <v>3981</v>
      </c>
      <c r="I82" s="38">
        <v>2874</v>
      </c>
      <c r="J82" s="39">
        <v>2706</v>
      </c>
      <c r="K82" s="39">
        <v>2594</v>
      </c>
      <c r="L82" s="101">
        <v>2904.51</v>
      </c>
      <c r="M82" s="101">
        <v>2212.12</v>
      </c>
      <c r="N82" s="24">
        <v>2382.51</v>
      </c>
      <c r="O82" s="24">
        <v>2182.24</v>
      </c>
      <c r="P82" s="24">
        <v>3537</v>
      </c>
      <c r="Q82" s="531">
        <v>3409.77</v>
      </c>
      <c r="R82" s="479">
        <f t="shared" si="15"/>
        <v>96.40288379983036</v>
      </c>
    </row>
    <row r="83" spans="1:18" ht="13.5" thickBot="1">
      <c r="A83" s="713"/>
      <c r="B83" s="208">
        <v>630</v>
      </c>
      <c r="C83" s="38" t="s">
        <v>266</v>
      </c>
      <c r="D83" s="219"/>
      <c r="E83" s="219">
        <v>1627</v>
      </c>
      <c r="F83" s="219">
        <v>2556</v>
      </c>
      <c r="G83" s="219">
        <v>2642</v>
      </c>
      <c r="H83" s="219">
        <v>1484</v>
      </c>
      <c r="I83" s="38">
        <v>1204</v>
      </c>
      <c r="J83" s="39">
        <v>1574</v>
      </c>
      <c r="K83" s="39">
        <v>954</v>
      </c>
      <c r="L83" s="101">
        <v>763.89</v>
      </c>
      <c r="M83" s="101">
        <v>936.61</v>
      </c>
      <c r="N83" s="24">
        <v>734.5</v>
      </c>
      <c r="O83" s="24">
        <v>3013.97</v>
      </c>
      <c r="P83" s="24">
        <v>1000</v>
      </c>
      <c r="Q83" s="531">
        <v>1754.11</v>
      </c>
      <c r="R83" s="479">
        <f t="shared" si="15"/>
        <v>175.41099999999997</v>
      </c>
    </row>
    <row r="84" spans="1:18" ht="13.5" hidden="1" thickBot="1">
      <c r="A84" s="711"/>
      <c r="B84" s="228">
        <v>600</v>
      </c>
      <c r="C84" s="276" t="s">
        <v>310</v>
      </c>
      <c r="D84" s="277"/>
      <c r="E84" s="277"/>
      <c r="F84" s="277"/>
      <c r="G84" s="277"/>
      <c r="H84" s="277"/>
      <c r="I84" s="276">
        <v>148584</v>
      </c>
      <c r="J84" s="278">
        <v>53379</v>
      </c>
      <c r="K84" s="54"/>
      <c r="L84" s="279"/>
      <c r="M84" s="54"/>
      <c r="N84" s="43"/>
      <c r="O84" s="43"/>
      <c r="P84" s="43"/>
      <c r="Q84" s="498"/>
      <c r="R84" s="481">
        <f t="shared" si="15"/>
        <v>0</v>
      </c>
    </row>
    <row r="85" spans="1:23" ht="15.75" thickBot="1">
      <c r="A85" s="190" t="s">
        <v>239</v>
      </c>
      <c r="B85" s="714" t="s">
        <v>67</v>
      </c>
      <c r="C85" s="715"/>
      <c r="D85" s="191">
        <v>11518</v>
      </c>
      <c r="E85" s="191">
        <v>13012</v>
      </c>
      <c r="F85" s="191">
        <v>13643</v>
      </c>
      <c r="G85" s="191">
        <v>15109</v>
      </c>
      <c r="H85" s="191">
        <v>14271</v>
      </c>
      <c r="I85" s="60">
        <f>SUM(I86:I88)</f>
        <v>14580</v>
      </c>
      <c r="J85" s="60">
        <f>SUM(J86:J88)</f>
        <v>13755</v>
      </c>
      <c r="K85" s="60">
        <f>SUM(K86:K88)</f>
        <v>12987</v>
      </c>
      <c r="L85" s="192">
        <f>SUM(L86:L88)</f>
        <v>12440.38</v>
      </c>
      <c r="M85" s="192">
        <f>SUM(M86:M89)</f>
        <v>12085.220000000001</v>
      </c>
      <c r="N85" s="94">
        <f>SUM(N86:N89)</f>
        <v>14820</v>
      </c>
      <c r="O85" s="94">
        <f>SUM(O86:O89)</f>
        <v>17802.890000000003</v>
      </c>
      <c r="P85" s="94">
        <f>SUM(P86:P89)</f>
        <v>21038</v>
      </c>
      <c r="Q85" s="454">
        <f>SUM(Q86:Q89)</f>
        <v>18901.94</v>
      </c>
      <c r="R85" s="566">
        <f t="shared" si="15"/>
        <v>89.84665842760718</v>
      </c>
      <c r="U85" s="539"/>
      <c r="W85" s="653"/>
    </row>
    <row r="86" spans="1:21" ht="12.75">
      <c r="A86" s="710"/>
      <c r="B86" s="207">
        <v>610</v>
      </c>
      <c r="C86" s="36" t="s">
        <v>264</v>
      </c>
      <c r="D86" s="141"/>
      <c r="E86" s="141">
        <v>8099</v>
      </c>
      <c r="F86" s="141">
        <v>8597</v>
      </c>
      <c r="G86" s="141">
        <v>9417</v>
      </c>
      <c r="H86" s="141">
        <v>9528</v>
      </c>
      <c r="I86" s="36">
        <v>9523</v>
      </c>
      <c r="J86" s="37">
        <v>8900</v>
      </c>
      <c r="K86" s="37">
        <v>8730</v>
      </c>
      <c r="L86" s="181">
        <v>8356.07</v>
      </c>
      <c r="M86" s="181">
        <v>8369.97</v>
      </c>
      <c r="N86" s="84">
        <v>10167.75</v>
      </c>
      <c r="O86" s="84">
        <v>12358.6</v>
      </c>
      <c r="P86" s="84">
        <v>14662</v>
      </c>
      <c r="Q86" s="506">
        <v>13120.16</v>
      </c>
      <c r="R86" s="569">
        <f t="shared" si="15"/>
        <v>89.48410858000273</v>
      </c>
      <c r="U86" s="539"/>
    </row>
    <row r="87" spans="1:18" ht="12.75">
      <c r="A87" s="713"/>
      <c r="B87" s="208">
        <v>620</v>
      </c>
      <c r="C87" s="38" t="s">
        <v>265</v>
      </c>
      <c r="D87" s="219"/>
      <c r="E87" s="219">
        <v>2855</v>
      </c>
      <c r="F87" s="219">
        <v>3220</v>
      </c>
      <c r="G87" s="219">
        <v>3567</v>
      </c>
      <c r="H87" s="219">
        <v>3607</v>
      </c>
      <c r="I87" s="38">
        <v>3617</v>
      </c>
      <c r="J87" s="39">
        <v>3393</v>
      </c>
      <c r="K87" s="39">
        <v>3330</v>
      </c>
      <c r="L87" s="183">
        <v>3406.87</v>
      </c>
      <c r="M87" s="183">
        <v>2973.01</v>
      </c>
      <c r="N87" s="24">
        <v>3841.92</v>
      </c>
      <c r="O87" s="24">
        <v>4614.21</v>
      </c>
      <c r="P87" s="24">
        <v>5376</v>
      </c>
      <c r="Q87" s="531">
        <v>4873.08</v>
      </c>
      <c r="R87" s="479">
        <f t="shared" si="15"/>
        <v>90.64508928571429</v>
      </c>
    </row>
    <row r="88" spans="1:18" ht="13.5" thickBot="1">
      <c r="A88" s="713"/>
      <c r="B88" s="286">
        <v>630</v>
      </c>
      <c r="C88" s="42" t="s">
        <v>266</v>
      </c>
      <c r="D88" s="136"/>
      <c r="E88" s="136">
        <v>2058</v>
      </c>
      <c r="F88" s="136">
        <v>1826</v>
      </c>
      <c r="G88" s="136">
        <v>2125</v>
      </c>
      <c r="H88" s="136">
        <v>1136</v>
      </c>
      <c r="I88" s="41">
        <v>1440</v>
      </c>
      <c r="J88" s="54">
        <v>1462</v>
      </c>
      <c r="K88" s="65">
        <v>927</v>
      </c>
      <c r="L88" s="101">
        <v>677.44</v>
      </c>
      <c r="M88" s="101">
        <v>629.37</v>
      </c>
      <c r="N88" s="24">
        <v>810.33</v>
      </c>
      <c r="O88" s="24">
        <v>830.08</v>
      </c>
      <c r="P88" s="24">
        <v>1000</v>
      </c>
      <c r="Q88" s="531">
        <v>908.7</v>
      </c>
      <c r="R88" s="479">
        <f t="shared" si="15"/>
        <v>90.87</v>
      </c>
    </row>
    <row r="89" spans="1:18" ht="13.5" thickBot="1">
      <c r="A89" s="711"/>
      <c r="B89" s="228">
        <v>640</v>
      </c>
      <c r="C89" s="41" t="s">
        <v>267</v>
      </c>
      <c r="D89" s="239"/>
      <c r="E89" s="239"/>
      <c r="F89" s="239"/>
      <c r="G89" s="239"/>
      <c r="H89" s="239"/>
      <c r="I89" s="102"/>
      <c r="J89" s="188"/>
      <c r="K89" s="188"/>
      <c r="L89" s="308"/>
      <c r="M89" s="308">
        <v>112.87</v>
      </c>
      <c r="N89" s="68"/>
      <c r="O89" s="68"/>
      <c r="P89" s="68"/>
      <c r="Q89" s="532"/>
      <c r="R89" s="571">
        <f t="shared" si="15"/>
        <v>0</v>
      </c>
    </row>
    <row r="90" spans="1:18" ht="15.75" thickBot="1">
      <c r="A90" s="190" t="s">
        <v>63</v>
      </c>
      <c r="B90" s="688" t="s">
        <v>64</v>
      </c>
      <c r="C90" s="681"/>
      <c r="D90" s="244">
        <v>0</v>
      </c>
      <c r="E90" s="244">
        <v>221337</v>
      </c>
      <c r="F90" s="244">
        <v>136394</v>
      </c>
      <c r="G90" s="244">
        <v>214824</v>
      </c>
      <c r="H90" s="244">
        <v>646088</v>
      </c>
      <c r="I90" s="60">
        <f>SUM(I96:I108)</f>
        <v>152165</v>
      </c>
      <c r="J90" s="60">
        <f>SUM(J96:J108)</f>
        <v>173492</v>
      </c>
      <c r="K90" s="60">
        <f>SUM(K96:K108)</f>
        <v>219663</v>
      </c>
      <c r="L90" s="192">
        <f aca="true" t="shared" si="18" ref="L90:Q90">SUM(L91:L108)</f>
        <v>485501.09</v>
      </c>
      <c r="M90" s="192">
        <f t="shared" si="18"/>
        <v>315963.52</v>
      </c>
      <c r="N90" s="94">
        <f t="shared" si="18"/>
        <v>306308.77</v>
      </c>
      <c r="O90" s="94">
        <f t="shared" si="18"/>
        <v>235650.84</v>
      </c>
      <c r="P90" s="94">
        <f t="shared" si="18"/>
        <v>275000</v>
      </c>
      <c r="Q90" s="454">
        <f t="shared" si="18"/>
        <v>258445.63</v>
      </c>
      <c r="R90" s="566">
        <f t="shared" si="15"/>
        <v>93.98022909090909</v>
      </c>
    </row>
    <row r="91" spans="1:18" ht="15" hidden="1">
      <c r="A91" s="708"/>
      <c r="B91" s="207">
        <v>630</v>
      </c>
      <c r="C91" s="36" t="s">
        <v>178</v>
      </c>
      <c r="D91" s="280"/>
      <c r="E91" s="280"/>
      <c r="F91" s="280"/>
      <c r="G91" s="280"/>
      <c r="H91" s="280"/>
      <c r="I91" s="281"/>
      <c r="J91" s="281"/>
      <c r="K91" s="281"/>
      <c r="L91" s="195">
        <v>164829</v>
      </c>
      <c r="M91" s="195">
        <v>115488</v>
      </c>
      <c r="N91" s="126">
        <v>98750</v>
      </c>
      <c r="O91" s="126"/>
      <c r="P91" s="505"/>
      <c r="Q91" s="530"/>
      <c r="R91" s="483">
        <f t="shared" si="15"/>
        <v>0</v>
      </c>
    </row>
    <row r="92" spans="1:18" ht="15" hidden="1">
      <c r="A92" s="712"/>
      <c r="B92" s="208"/>
      <c r="C92" s="42" t="s">
        <v>210</v>
      </c>
      <c r="D92" s="282"/>
      <c r="E92" s="282"/>
      <c r="F92" s="282"/>
      <c r="G92" s="282"/>
      <c r="H92" s="282"/>
      <c r="I92" s="283"/>
      <c r="J92" s="283"/>
      <c r="K92" s="283"/>
      <c r="L92" s="115">
        <v>9696.54</v>
      </c>
      <c r="M92" s="456"/>
      <c r="N92" s="284"/>
      <c r="O92" s="284"/>
      <c r="P92" s="284"/>
      <c r="Q92" s="531"/>
      <c r="R92" s="479">
        <f t="shared" si="15"/>
        <v>0</v>
      </c>
    </row>
    <row r="93" spans="1:18" ht="15" hidden="1">
      <c r="A93" s="712"/>
      <c r="B93" s="208"/>
      <c r="C93" s="42" t="s">
        <v>311</v>
      </c>
      <c r="D93" s="282"/>
      <c r="E93" s="282"/>
      <c r="F93" s="282"/>
      <c r="G93" s="282"/>
      <c r="H93" s="282"/>
      <c r="I93" s="283"/>
      <c r="J93" s="283"/>
      <c r="K93" s="283"/>
      <c r="L93" s="115">
        <v>9955.3</v>
      </c>
      <c r="M93" s="456"/>
      <c r="N93" s="284"/>
      <c r="O93" s="284"/>
      <c r="P93" s="284"/>
      <c r="Q93" s="531"/>
      <c r="R93" s="479">
        <f t="shared" si="15"/>
        <v>0</v>
      </c>
    </row>
    <row r="94" spans="1:18" ht="15" hidden="1">
      <c r="A94" s="712"/>
      <c r="B94" s="208"/>
      <c r="C94" s="42" t="s">
        <v>312</v>
      </c>
      <c r="D94" s="282"/>
      <c r="E94" s="282"/>
      <c r="F94" s="282"/>
      <c r="G94" s="282"/>
      <c r="H94" s="282"/>
      <c r="I94" s="283"/>
      <c r="J94" s="283"/>
      <c r="K94" s="283"/>
      <c r="L94" s="115">
        <v>11550</v>
      </c>
      <c r="M94" s="456"/>
      <c r="N94" s="284"/>
      <c r="O94" s="284"/>
      <c r="P94" s="284"/>
      <c r="Q94" s="531"/>
      <c r="R94" s="479">
        <f t="shared" si="15"/>
        <v>0</v>
      </c>
    </row>
    <row r="95" spans="1:18" ht="15" hidden="1">
      <c r="A95" s="712"/>
      <c r="B95" s="208"/>
      <c r="C95" s="38" t="s">
        <v>211</v>
      </c>
      <c r="D95" s="282"/>
      <c r="E95" s="282"/>
      <c r="F95" s="282"/>
      <c r="G95" s="282"/>
      <c r="H95" s="282"/>
      <c r="I95" s="283"/>
      <c r="J95" s="283"/>
      <c r="K95" s="283"/>
      <c r="L95" s="115">
        <v>11848</v>
      </c>
      <c r="M95" s="456"/>
      <c r="N95" s="284"/>
      <c r="O95" s="284"/>
      <c r="P95" s="284"/>
      <c r="Q95" s="531"/>
      <c r="R95" s="479">
        <f t="shared" si="15"/>
        <v>0</v>
      </c>
    </row>
    <row r="96" spans="1:18" ht="12.75" hidden="1">
      <c r="A96" s="712"/>
      <c r="B96" s="285"/>
      <c r="C96" s="63" t="s">
        <v>313</v>
      </c>
      <c r="D96" s="51"/>
      <c r="E96" s="51"/>
      <c r="F96" s="51"/>
      <c r="G96" s="51"/>
      <c r="H96" s="51"/>
      <c r="I96" s="63"/>
      <c r="J96" s="51"/>
      <c r="K96" s="51"/>
      <c r="L96" s="105">
        <v>55733.87</v>
      </c>
      <c r="M96" s="183">
        <v>17376</v>
      </c>
      <c r="N96" s="21"/>
      <c r="O96" s="21"/>
      <c r="P96" s="21"/>
      <c r="Q96" s="531"/>
      <c r="R96" s="479">
        <f t="shared" si="15"/>
        <v>0</v>
      </c>
    </row>
    <row r="97" spans="1:18" ht="12.75" hidden="1">
      <c r="A97" s="712"/>
      <c r="B97" s="286"/>
      <c r="C97" s="42" t="s">
        <v>314</v>
      </c>
      <c r="D97" s="65"/>
      <c r="E97" s="65"/>
      <c r="F97" s="65"/>
      <c r="G97" s="65"/>
      <c r="H97" s="65"/>
      <c r="I97" s="42"/>
      <c r="J97" s="65"/>
      <c r="K97" s="39"/>
      <c r="L97" s="183">
        <v>41848</v>
      </c>
      <c r="M97" s="183"/>
      <c r="N97" s="24"/>
      <c r="O97" s="24"/>
      <c r="P97" s="24"/>
      <c r="Q97" s="531"/>
      <c r="R97" s="479">
        <f t="shared" si="15"/>
        <v>0</v>
      </c>
    </row>
    <row r="98" spans="1:18" ht="12.75" hidden="1">
      <c r="A98" s="712"/>
      <c r="B98" s="286"/>
      <c r="C98" s="42"/>
      <c r="D98" s="65"/>
      <c r="E98" s="65"/>
      <c r="F98" s="65"/>
      <c r="G98" s="65"/>
      <c r="H98" s="65"/>
      <c r="I98" s="42"/>
      <c r="J98" s="65"/>
      <c r="K98" s="39"/>
      <c r="L98" s="24"/>
      <c r="M98" s="183"/>
      <c r="N98" s="24"/>
      <c r="O98" s="24"/>
      <c r="P98" s="24"/>
      <c r="Q98" s="531"/>
      <c r="R98" s="479">
        <f t="shared" si="15"/>
        <v>0</v>
      </c>
    </row>
    <row r="99" spans="1:18" ht="12.75" hidden="1">
      <c r="A99" s="712"/>
      <c r="B99" s="286"/>
      <c r="C99" s="42"/>
      <c r="D99" s="65"/>
      <c r="E99" s="65"/>
      <c r="F99" s="65"/>
      <c r="G99" s="65"/>
      <c r="H99" s="65"/>
      <c r="I99" s="42"/>
      <c r="J99" s="65"/>
      <c r="K99" s="39"/>
      <c r="L99" s="24"/>
      <c r="M99" s="183"/>
      <c r="N99" s="24"/>
      <c r="O99" s="24"/>
      <c r="P99" s="24"/>
      <c r="Q99" s="531"/>
      <c r="R99" s="479">
        <f t="shared" si="15"/>
        <v>0</v>
      </c>
    </row>
    <row r="100" spans="1:18" ht="12.75" hidden="1">
      <c r="A100" s="712"/>
      <c r="B100" s="286"/>
      <c r="C100" s="38"/>
      <c r="D100" s="39"/>
      <c r="E100" s="39"/>
      <c r="F100" s="39"/>
      <c r="G100" s="39"/>
      <c r="H100" s="39"/>
      <c r="I100" s="38"/>
      <c r="J100" s="39"/>
      <c r="K100" s="39"/>
      <c r="L100" s="24"/>
      <c r="M100" s="183"/>
      <c r="N100" s="24"/>
      <c r="O100" s="24"/>
      <c r="P100" s="24"/>
      <c r="Q100" s="531"/>
      <c r="R100" s="479">
        <f t="shared" si="15"/>
        <v>0</v>
      </c>
    </row>
    <row r="101" spans="1:18" ht="12.75" hidden="1">
      <c r="A101" s="712"/>
      <c r="B101" s="286">
        <v>630</v>
      </c>
      <c r="C101" s="38" t="s">
        <v>315</v>
      </c>
      <c r="D101" s="39"/>
      <c r="E101" s="39"/>
      <c r="F101" s="39"/>
      <c r="G101" s="39"/>
      <c r="H101" s="39"/>
      <c r="I101" s="38">
        <v>800</v>
      </c>
      <c r="J101" s="39"/>
      <c r="K101" s="39"/>
      <c r="L101" s="24"/>
      <c r="M101" s="183"/>
      <c r="N101" s="24"/>
      <c r="O101" s="24"/>
      <c r="P101" s="24"/>
      <c r="Q101" s="531"/>
      <c r="R101" s="479">
        <f t="shared" si="15"/>
        <v>0</v>
      </c>
    </row>
    <row r="102" spans="1:18" ht="12.75" hidden="1">
      <c r="A102" s="712"/>
      <c r="B102" s="286">
        <v>630</v>
      </c>
      <c r="C102" s="38" t="s">
        <v>316</v>
      </c>
      <c r="D102" s="39"/>
      <c r="E102" s="39"/>
      <c r="F102" s="39"/>
      <c r="G102" s="39"/>
      <c r="H102" s="39"/>
      <c r="I102" s="38">
        <v>2124</v>
      </c>
      <c r="J102" s="39">
        <v>1200</v>
      </c>
      <c r="K102" s="24">
        <f>25728+5970+25054</f>
        <v>56752</v>
      </c>
      <c r="L102" s="24"/>
      <c r="M102" s="183"/>
      <c r="N102" s="24"/>
      <c r="O102" s="24"/>
      <c r="P102" s="24"/>
      <c r="Q102" s="531"/>
      <c r="R102" s="479">
        <f t="shared" si="15"/>
        <v>0</v>
      </c>
    </row>
    <row r="103" spans="1:18" ht="15.75" customHeight="1" hidden="1">
      <c r="A103" s="712"/>
      <c r="B103" s="286">
        <v>630</v>
      </c>
      <c r="C103" s="38" t="s">
        <v>317</v>
      </c>
      <c r="D103" s="39"/>
      <c r="E103" s="39"/>
      <c r="F103" s="39"/>
      <c r="G103" s="39"/>
      <c r="H103" s="39"/>
      <c r="I103" s="38"/>
      <c r="J103" s="39">
        <v>22691</v>
      </c>
      <c r="K103" s="24">
        <v>859</v>
      </c>
      <c r="L103" s="24"/>
      <c r="M103" s="183">
        <v>774.55</v>
      </c>
      <c r="N103" s="24"/>
      <c r="O103" s="24"/>
      <c r="P103" s="24"/>
      <c r="Q103" s="531"/>
      <c r="R103" s="479">
        <f t="shared" si="15"/>
        <v>0</v>
      </c>
    </row>
    <row r="104" spans="1:18" ht="12.75" hidden="1">
      <c r="A104" s="712"/>
      <c r="B104" s="286">
        <v>630</v>
      </c>
      <c r="C104" s="38" t="s">
        <v>452</v>
      </c>
      <c r="D104" s="39"/>
      <c r="E104" s="39"/>
      <c r="F104" s="39"/>
      <c r="G104" s="39"/>
      <c r="H104" s="39"/>
      <c r="I104" s="38">
        <v>4435</v>
      </c>
      <c r="J104" s="39"/>
      <c r="K104" s="39">
        <v>0</v>
      </c>
      <c r="L104" s="183">
        <v>931.15</v>
      </c>
      <c r="M104" s="183">
        <v>7872</v>
      </c>
      <c r="N104" s="24">
        <v>6215.72</v>
      </c>
      <c r="O104" s="24">
        <v>39179.72</v>
      </c>
      <c r="P104" s="24">
        <v>0</v>
      </c>
      <c r="Q104" s="531"/>
      <c r="R104" s="479">
        <f t="shared" si="15"/>
        <v>0</v>
      </c>
    </row>
    <row r="105" spans="1:18" ht="12.75">
      <c r="A105" s="712"/>
      <c r="B105" s="286">
        <v>630</v>
      </c>
      <c r="C105" s="42" t="s">
        <v>462</v>
      </c>
      <c r="D105" s="65"/>
      <c r="E105" s="65"/>
      <c r="F105" s="65"/>
      <c r="G105" s="65"/>
      <c r="H105" s="65"/>
      <c r="I105" s="42"/>
      <c r="J105" s="65"/>
      <c r="K105" s="65"/>
      <c r="L105" s="27"/>
      <c r="M105" s="201"/>
      <c r="N105" s="27">
        <v>17446.49</v>
      </c>
      <c r="O105" s="27"/>
      <c r="P105" s="27">
        <v>50000</v>
      </c>
      <c r="Q105" s="531">
        <v>50244.21</v>
      </c>
      <c r="R105" s="479">
        <f t="shared" si="15"/>
        <v>100.48842</v>
      </c>
    </row>
    <row r="106" spans="1:18" ht="12.75" hidden="1">
      <c r="A106" s="712"/>
      <c r="B106" s="286">
        <v>630</v>
      </c>
      <c r="C106" s="42" t="s">
        <v>318</v>
      </c>
      <c r="D106" s="65"/>
      <c r="E106" s="65"/>
      <c r="F106" s="65"/>
      <c r="G106" s="65"/>
      <c r="H106" s="65"/>
      <c r="I106" s="42">
        <v>931</v>
      </c>
      <c r="J106" s="65">
        <v>0</v>
      </c>
      <c r="K106" s="65"/>
      <c r="L106" s="65"/>
      <c r="M106" s="229"/>
      <c r="N106" s="27">
        <v>0</v>
      </c>
      <c r="O106" s="27"/>
      <c r="P106" s="27"/>
      <c r="Q106" s="531"/>
      <c r="R106" s="479">
        <f t="shared" si="15"/>
        <v>0</v>
      </c>
    </row>
    <row r="107" spans="1:18" ht="12.75">
      <c r="A107" s="712"/>
      <c r="B107" s="286">
        <v>630</v>
      </c>
      <c r="C107" s="42" t="s">
        <v>319</v>
      </c>
      <c r="D107" s="65"/>
      <c r="E107" s="65"/>
      <c r="F107" s="65"/>
      <c r="G107" s="65"/>
      <c r="H107" s="65"/>
      <c r="I107" s="38">
        <v>10805</v>
      </c>
      <c r="J107" s="39">
        <v>3148</v>
      </c>
      <c r="K107" s="65">
        <f>2890+1395+2974+8613+1646</f>
        <v>17518</v>
      </c>
      <c r="L107" s="201">
        <v>34575.23</v>
      </c>
      <c r="M107" s="201">
        <v>22975.97</v>
      </c>
      <c r="N107" s="27">
        <v>28524.56</v>
      </c>
      <c r="O107" s="27">
        <v>26839.28</v>
      </c>
      <c r="P107" s="27">
        <v>50000</v>
      </c>
      <c r="Q107" s="531">
        <f>38969.98+10.92</f>
        <v>38980.9</v>
      </c>
      <c r="R107" s="479">
        <f t="shared" si="15"/>
        <v>77.9618</v>
      </c>
    </row>
    <row r="108" spans="1:18" ht="13.5" thickBot="1">
      <c r="A108" s="709"/>
      <c r="B108" s="228">
        <v>640</v>
      </c>
      <c r="C108" s="41" t="s">
        <v>320</v>
      </c>
      <c r="D108" s="54"/>
      <c r="E108" s="54">
        <v>217951</v>
      </c>
      <c r="F108" s="54">
        <v>132776</v>
      </c>
      <c r="G108" s="54">
        <v>141830</v>
      </c>
      <c r="H108" s="54">
        <v>137000</v>
      </c>
      <c r="I108" s="41">
        <v>133070</v>
      </c>
      <c r="J108" s="54">
        <v>146453</v>
      </c>
      <c r="K108" s="54">
        <v>144534</v>
      </c>
      <c r="L108" s="279">
        <v>144534</v>
      </c>
      <c r="M108" s="279">
        <v>151477</v>
      </c>
      <c r="N108" s="43">
        <v>155372</v>
      </c>
      <c r="O108" s="43">
        <v>169631.84</v>
      </c>
      <c r="P108" s="43">
        <v>175000</v>
      </c>
      <c r="Q108" s="498">
        <v>169220.52</v>
      </c>
      <c r="R108" s="481">
        <f t="shared" si="15"/>
        <v>96.69743999999999</v>
      </c>
    </row>
    <row r="109" spans="1:18" ht="15.75" thickBot="1">
      <c r="A109" s="190" t="s">
        <v>321</v>
      </c>
      <c r="B109" s="688" t="s">
        <v>66</v>
      </c>
      <c r="C109" s="681"/>
      <c r="D109" s="60">
        <f>D110</f>
        <v>10589</v>
      </c>
      <c r="E109" s="60">
        <f>E110</f>
        <v>11917</v>
      </c>
      <c r="F109" s="60">
        <f>F110</f>
        <v>11883</v>
      </c>
      <c r="G109" s="60">
        <f>G110</f>
        <v>4189</v>
      </c>
      <c r="H109" s="60">
        <v>5005</v>
      </c>
      <c r="I109" s="60">
        <f aca="true" t="shared" si="19" ref="I109:Q109">I110</f>
        <v>5041</v>
      </c>
      <c r="J109" s="60">
        <f t="shared" si="19"/>
        <v>5609</v>
      </c>
      <c r="K109" s="60">
        <f t="shared" si="19"/>
        <v>6003</v>
      </c>
      <c r="L109" s="192">
        <v>3745.53</v>
      </c>
      <c r="M109" s="192">
        <f t="shared" si="19"/>
        <v>5989.44</v>
      </c>
      <c r="N109" s="94">
        <f t="shared" si="19"/>
        <v>5966.9</v>
      </c>
      <c r="O109" s="94">
        <f t="shared" si="19"/>
        <v>6273.49</v>
      </c>
      <c r="P109" s="94">
        <f t="shared" si="19"/>
        <v>6000</v>
      </c>
      <c r="Q109" s="454">
        <f t="shared" si="19"/>
        <v>6274.93</v>
      </c>
      <c r="R109" s="566">
        <f t="shared" si="15"/>
        <v>104.58216666666667</v>
      </c>
    </row>
    <row r="110" spans="1:18" ht="13.5" thickBot="1">
      <c r="A110" s="287"/>
      <c r="B110" s="288"/>
      <c r="C110" s="66" t="s">
        <v>322</v>
      </c>
      <c r="D110" s="73">
        <v>10589</v>
      </c>
      <c r="E110" s="73">
        <v>11917</v>
      </c>
      <c r="F110" s="73">
        <v>11883</v>
      </c>
      <c r="G110" s="73">
        <v>4189</v>
      </c>
      <c r="H110" s="73">
        <v>5005</v>
      </c>
      <c r="I110" s="66">
        <v>5041</v>
      </c>
      <c r="J110" s="73">
        <v>5609</v>
      </c>
      <c r="K110" s="12">
        <v>6003</v>
      </c>
      <c r="L110" s="225">
        <v>3745.53</v>
      </c>
      <c r="M110" s="225">
        <v>5989.44</v>
      </c>
      <c r="N110" s="12">
        <v>5966.9</v>
      </c>
      <c r="O110" s="12">
        <v>6273.49</v>
      </c>
      <c r="P110" s="12">
        <v>6000</v>
      </c>
      <c r="Q110" s="529">
        <v>6274.93</v>
      </c>
      <c r="R110" s="485">
        <f t="shared" si="15"/>
        <v>104.58216666666667</v>
      </c>
    </row>
    <row r="111" spans="1:18" ht="15.75" thickBot="1">
      <c r="A111" s="242" t="s">
        <v>342</v>
      </c>
      <c r="B111" s="721" t="s">
        <v>341</v>
      </c>
      <c r="C111" s="706"/>
      <c r="D111" s="69">
        <f>D113</f>
        <v>0</v>
      </c>
      <c r="E111" s="69">
        <f>E113</f>
        <v>122817</v>
      </c>
      <c r="F111" s="69">
        <f>F113</f>
        <v>236905</v>
      </c>
      <c r="G111" s="69">
        <f>G113</f>
        <v>210760</v>
      </c>
      <c r="H111" s="69">
        <v>216000</v>
      </c>
      <c r="I111" s="69">
        <f aca="true" t="shared" si="20" ref="I111:N111">I113</f>
        <v>173560</v>
      </c>
      <c r="J111" s="69">
        <f t="shared" si="20"/>
        <v>168880</v>
      </c>
      <c r="K111" s="69">
        <f t="shared" si="20"/>
        <v>168880</v>
      </c>
      <c r="L111" s="70">
        <v>166668</v>
      </c>
      <c r="M111" s="70">
        <f t="shared" si="20"/>
        <v>150364</v>
      </c>
      <c r="N111" s="368">
        <f t="shared" si="20"/>
        <v>136000</v>
      </c>
      <c r="O111" s="368">
        <f>O113+O112</f>
        <v>141246.73</v>
      </c>
      <c r="P111" s="368">
        <f>P113+P112</f>
        <v>170000</v>
      </c>
      <c r="Q111" s="546">
        <f>Q113+Q112</f>
        <v>166152.71</v>
      </c>
      <c r="R111" s="572">
        <f t="shared" si="15"/>
        <v>97.73688823529412</v>
      </c>
    </row>
    <row r="112" spans="1:18" ht="15">
      <c r="A112" s="708"/>
      <c r="B112" s="510">
        <v>630</v>
      </c>
      <c r="C112" s="231" t="s">
        <v>378</v>
      </c>
      <c r="D112" s="281"/>
      <c r="E112" s="281"/>
      <c r="F112" s="281"/>
      <c r="G112" s="281"/>
      <c r="H112" s="281"/>
      <c r="I112" s="281"/>
      <c r="J112" s="281"/>
      <c r="K112" s="505"/>
      <c r="L112" s="181"/>
      <c r="M112" s="181"/>
      <c r="N112" s="84"/>
      <c r="O112" s="84">
        <v>3112.73</v>
      </c>
      <c r="P112" s="84"/>
      <c r="Q112" s="506"/>
      <c r="R112" s="573">
        <f t="shared" si="15"/>
        <v>0</v>
      </c>
    </row>
    <row r="113" spans="1:18" ht="13.5" thickBot="1">
      <c r="A113" s="709"/>
      <c r="B113" s="303">
        <v>640</v>
      </c>
      <c r="C113" s="276" t="s">
        <v>323</v>
      </c>
      <c r="D113" s="54"/>
      <c r="E113" s="54">
        <v>122817</v>
      </c>
      <c r="F113" s="54">
        <v>236905</v>
      </c>
      <c r="G113" s="54">
        <v>210760</v>
      </c>
      <c r="H113" s="54">
        <v>216000</v>
      </c>
      <c r="I113" s="41">
        <v>173560</v>
      </c>
      <c r="J113" s="54">
        <v>168880</v>
      </c>
      <c r="K113" s="43">
        <v>168880</v>
      </c>
      <c r="L113" s="230">
        <v>166668</v>
      </c>
      <c r="M113" s="230">
        <v>150364</v>
      </c>
      <c r="N113" s="43">
        <v>136000</v>
      </c>
      <c r="O113" s="43">
        <v>138134</v>
      </c>
      <c r="P113" s="43">
        <v>170000</v>
      </c>
      <c r="Q113" s="516">
        <v>166152.71</v>
      </c>
      <c r="R113" s="487">
        <f t="shared" si="15"/>
        <v>97.73688823529412</v>
      </c>
    </row>
    <row r="114" spans="1:18" ht="15.75" thickBot="1">
      <c r="A114" s="242" t="s">
        <v>74</v>
      </c>
      <c r="B114" s="721" t="s">
        <v>324</v>
      </c>
      <c r="C114" s="706"/>
      <c r="D114" s="69">
        <v>0</v>
      </c>
      <c r="E114" s="69">
        <v>56430</v>
      </c>
      <c r="F114" s="69">
        <v>359789</v>
      </c>
      <c r="G114" s="69">
        <v>312928</v>
      </c>
      <c r="H114" s="69">
        <v>336361</v>
      </c>
      <c r="I114" s="69">
        <f aca="true" t="shared" si="21" ref="I114:Q114">SUM(I115:I120)</f>
        <v>283963</v>
      </c>
      <c r="J114" s="69">
        <f t="shared" si="21"/>
        <v>347786</v>
      </c>
      <c r="K114" s="69">
        <f t="shared" si="21"/>
        <v>268221</v>
      </c>
      <c r="L114" s="69">
        <f t="shared" si="21"/>
        <v>263798.23</v>
      </c>
      <c r="M114" s="70">
        <f t="shared" si="21"/>
        <v>287887.32</v>
      </c>
      <c r="N114" s="368">
        <f t="shared" si="21"/>
        <v>314491.48</v>
      </c>
      <c r="O114" s="368">
        <f t="shared" si="21"/>
        <v>300556.48</v>
      </c>
      <c r="P114" s="368">
        <f t="shared" si="21"/>
        <v>345287</v>
      </c>
      <c r="Q114" s="546">
        <f t="shared" si="21"/>
        <v>267198.25</v>
      </c>
      <c r="R114" s="572">
        <f t="shared" si="15"/>
        <v>77.38439327284259</v>
      </c>
    </row>
    <row r="115" spans="1:18" ht="12.75">
      <c r="A115" s="708"/>
      <c r="B115" s="207">
        <v>610</v>
      </c>
      <c r="C115" s="36" t="s">
        <v>264</v>
      </c>
      <c r="D115" s="37"/>
      <c r="E115" s="37"/>
      <c r="F115" s="37"/>
      <c r="G115" s="37"/>
      <c r="H115" s="37"/>
      <c r="I115" s="36">
        <v>264635</v>
      </c>
      <c r="J115" s="37">
        <v>24997</v>
      </c>
      <c r="K115" s="37">
        <v>24062</v>
      </c>
      <c r="L115" s="84">
        <v>22719.55</v>
      </c>
      <c r="M115" s="195">
        <v>28495.57</v>
      </c>
      <c r="N115" s="126">
        <v>28348.01</v>
      </c>
      <c r="O115" s="126">
        <v>31464.64</v>
      </c>
      <c r="P115" s="126">
        <v>34197</v>
      </c>
      <c r="Q115" s="530">
        <v>33530.71</v>
      </c>
      <c r="R115" s="483">
        <f t="shared" si="15"/>
        <v>98.05161271456561</v>
      </c>
    </row>
    <row r="116" spans="1:18" ht="12.75">
      <c r="A116" s="712"/>
      <c r="B116" s="208">
        <v>620</v>
      </c>
      <c r="C116" s="38" t="s">
        <v>265</v>
      </c>
      <c r="D116" s="39"/>
      <c r="E116" s="39"/>
      <c r="F116" s="39"/>
      <c r="G116" s="39"/>
      <c r="H116" s="39"/>
      <c r="I116" s="38"/>
      <c r="J116" s="39">
        <v>9316</v>
      </c>
      <c r="K116" s="39">
        <v>8959</v>
      </c>
      <c r="L116" s="24">
        <v>9337.62</v>
      </c>
      <c r="M116" s="118">
        <v>10210.04</v>
      </c>
      <c r="N116" s="23">
        <v>10765.88</v>
      </c>
      <c r="O116" s="23">
        <v>11782.59</v>
      </c>
      <c r="P116" s="23">
        <v>12637</v>
      </c>
      <c r="Q116" s="531">
        <v>12285.58</v>
      </c>
      <c r="R116" s="479">
        <f t="shared" si="15"/>
        <v>97.2191184616602</v>
      </c>
    </row>
    <row r="117" spans="1:18" ht="12.75">
      <c r="A117" s="712"/>
      <c r="B117" s="208">
        <v>630</v>
      </c>
      <c r="C117" s="38" t="s">
        <v>266</v>
      </c>
      <c r="D117" s="39"/>
      <c r="E117" s="39"/>
      <c r="F117" s="39"/>
      <c r="G117" s="39"/>
      <c r="H117" s="39"/>
      <c r="I117" s="38"/>
      <c r="J117" s="39">
        <v>291329</v>
      </c>
      <c r="K117" s="39">
        <f>212898</f>
        <v>212898</v>
      </c>
      <c r="L117" s="24">
        <v>204427.59</v>
      </c>
      <c r="M117" s="118">
        <v>218239.71</v>
      </c>
      <c r="N117" s="23">
        <v>254385.59</v>
      </c>
      <c r="O117" s="23">
        <v>246224.25</v>
      </c>
      <c r="P117" s="23">
        <v>279453</v>
      </c>
      <c r="Q117" s="531">
        <f>220847.89-1068.5</f>
        <v>219779.39</v>
      </c>
      <c r="R117" s="479">
        <f t="shared" si="15"/>
        <v>78.64628041209076</v>
      </c>
    </row>
    <row r="118" spans="1:18" ht="12.75">
      <c r="A118" s="712"/>
      <c r="B118" s="182">
        <v>640</v>
      </c>
      <c r="C118" s="38" t="s">
        <v>267</v>
      </c>
      <c r="D118" s="39"/>
      <c r="E118" s="39"/>
      <c r="F118" s="39"/>
      <c r="G118" s="39"/>
      <c r="H118" s="39"/>
      <c r="I118" s="38"/>
      <c r="J118" s="39"/>
      <c r="K118" s="24">
        <v>158</v>
      </c>
      <c r="L118" s="24">
        <v>169.47</v>
      </c>
      <c r="M118" s="118"/>
      <c r="N118" s="23"/>
      <c r="O118" s="23"/>
      <c r="P118" s="23"/>
      <c r="Q118" s="531">
        <v>137.43</v>
      </c>
      <c r="R118" s="479">
        <f t="shared" si="15"/>
        <v>0</v>
      </c>
    </row>
    <row r="119" spans="1:18" ht="12.75" hidden="1">
      <c r="A119" s="712"/>
      <c r="B119" s="182"/>
      <c r="C119" s="38" t="s">
        <v>349</v>
      </c>
      <c r="D119" s="39"/>
      <c r="E119" s="39"/>
      <c r="F119" s="39"/>
      <c r="G119" s="39"/>
      <c r="H119" s="39"/>
      <c r="I119" s="38"/>
      <c r="J119" s="39"/>
      <c r="K119" s="24"/>
      <c r="L119" s="24"/>
      <c r="M119" s="118"/>
      <c r="N119" s="23"/>
      <c r="O119" s="23"/>
      <c r="P119" s="81"/>
      <c r="Q119" s="498"/>
      <c r="R119" s="481">
        <f t="shared" si="15"/>
        <v>0</v>
      </c>
    </row>
    <row r="120" spans="1:18" ht="13.5" thickBot="1">
      <c r="A120" s="709"/>
      <c r="B120" s="210">
        <v>640</v>
      </c>
      <c r="C120" s="102" t="s">
        <v>323</v>
      </c>
      <c r="D120" s="188"/>
      <c r="E120" s="188">
        <v>56430</v>
      </c>
      <c r="F120" s="188">
        <v>66388</v>
      </c>
      <c r="G120" s="188">
        <v>33070</v>
      </c>
      <c r="H120" s="188">
        <v>34000</v>
      </c>
      <c r="I120" s="102">
        <v>19328</v>
      </c>
      <c r="J120" s="188">
        <v>22144</v>
      </c>
      <c r="K120" s="68">
        <v>22144</v>
      </c>
      <c r="L120" s="68">
        <v>27144</v>
      </c>
      <c r="M120" s="189">
        <v>30942</v>
      </c>
      <c r="N120" s="68">
        <v>20992</v>
      </c>
      <c r="O120" s="68">
        <v>11085</v>
      </c>
      <c r="P120" s="68">
        <v>19000</v>
      </c>
      <c r="Q120" s="498">
        <v>1465.14</v>
      </c>
      <c r="R120" s="481">
        <f t="shared" si="15"/>
        <v>7.711263157894738</v>
      </c>
    </row>
    <row r="121" spans="1:18" ht="15.75" thickBot="1">
      <c r="A121" s="242" t="s">
        <v>237</v>
      </c>
      <c r="B121" s="721" t="s">
        <v>325</v>
      </c>
      <c r="C121" s="706"/>
      <c r="D121" s="69">
        <f aca="true" t="shared" si="22" ref="D121:Q121">SUM(D122:D124)</f>
        <v>398161</v>
      </c>
      <c r="E121" s="69">
        <f t="shared" si="22"/>
        <v>245269</v>
      </c>
      <c r="F121" s="69">
        <f t="shared" si="22"/>
        <v>266050</v>
      </c>
      <c r="G121" s="69">
        <f t="shared" si="22"/>
        <v>237941</v>
      </c>
      <c r="H121" s="69">
        <f t="shared" si="22"/>
        <v>273708</v>
      </c>
      <c r="I121" s="69">
        <f t="shared" si="22"/>
        <v>262675</v>
      </c>
      <c r="J121" s="69">
        <f t="shared" si="22"/>
        <v>162661</v>
      </c>
      <c r="K121" s="69">
        <f t="shared" si="22"/>
        <v>165913</v>
      </c>
      <c r="L121" s="70">
        <f t="shared" si="22"/>
        <v>173111</v>
      </c>
      <c r="M121" s="70">
        <f t="shared" si="22"/>
        <v>179007.07</v>
      </c>
      <c r="N121" s="368">
        <f t="shared" si="22"/>
        <v>207573.5</v>
      </c>
      <c r="O121" s="368">
        <f t="shared" si="22"/>
        <v>252852.5</v>
      </c>
      <c r="P121" s="368">
        <f t="shared" si="22"/>
        <v>256970</v>
      </c>
      <c r="Q121" s="454">
        <f t="shared" si="22"/>
        <v>259830</v>
      </c>
      <c r="R121" s="566">
        <f t="shared" si="15"/>
        <v>101.11297038564813</v>
      </c>
    </row>
    <row r="122" spans="1:18" ht="12.75">
      <c r="A122" s="710"/>
      <c r="B122" s="289"/>
      <c r="C122" s="36" t="s">
        <v>326</v>
      </c>
      <c r="D122" s="37">
        <v>373863</v>
      </c>
      <c r="E122" s="37">
        <v>211312</v>
      </c>
      <c r="F122" s="37">
        <v>220574</v>
      </c>
      <c r="G122" s="37">
        <v>190734</v>
      </c>
      <c r="H122" s="37">
        <v>216608</v>
      </c>
      <c r="I122" s="36">
        <v>202225</v>
      </c>
      <c r="J122" s="39">
        <v>118262</v>
      </c>
      <c r="K122" s="39">
        <v>116713</v>
      </c>
      <c r="L122" s="105">
        <v>116713</v>
      </c>
      <c r="M122" s="105">
        <v>132538</v>
      </c>
      <c r="N122" s="21">
        <v>117290</v>
      </c>
      <c r="O122" s="21">
        <v>150490</v>
      </c>
      <c r="P122" s="21">
        <v>149500</v>
      </c>
      <c r="Q122" s="530">
        <v>157200</v>
      </c>
      <c r="R122" s="483">
        <f t="shared" si="15"/>
        <v>105.15050167224081</v>
      </c>
    </row>
    <row r="123" spans="1:18" ht="12.75">
      <c r="A123" s="713"/>
      <c r="B123" s="290"/>
      <c r="C123" s="128" t="s">
        <v>369</v>
      </c>
      <c r="D123" s="220"/>
      <c r="E123" s="220"/>
      <c r="F123" s="220"/>
      <c r="G123" s="220"/>
      <c r="H123" s="220"/>
      <c r="I123" s="128"/>
      <c r="J123" s="39"/>
      <c r="K123" s="39"/>
      <c r="L123" s="103"/>
      <c r="M123" s="103">
        <v>3467.07</v>
      </c>
      <c r="N123" s="62">
        <v>50283.5</v>
      </c>
      <c r="O123" s="62">
        <v>101647</v>
      </c>
      <c r="P123" s="62">
        <v>57470</v>
      </c>
      <c r="Q123" s="531"/>
      <c r="R123" s="479">
        <f t="shared" si="15"/>
        <v>0</v>
      </c>
    </row>
    <row r="124" spans="1:18" ht="13.5" thickBot="1">
      <c r="A124" s="711"/>
      <c r="B124" s="291"/>
      <c r="C124" s="41" t="s">
        <v>327</v>
      </c>
      <c r="D124" s="54">
        <v>24298</v>
      </c>
      <c r="E124" s="54">
        <v>33957</v>
      </c>
      <c r="F124" s="54">
        <v>45476</v>
      </c>
      <c r="G124" s="54">
        <v>47207</v>
      </c>
      <c r="H124" s="54">
        <v>57100</v>
      </c>
      <c r="I124" s="41">
        <v>60450</v>
      </c>
      <c r="J124" s="39">
        <v>44399</v>
      </c>
      <c r="K124" s="39">
        <v>49200</v>
      </c>
      <c r="L124" s="201">
        <v>56398</v>
      </c>
      <c r="M124" s="201">
        <v>43002</v>
      </c>
      <c r="N124" s="27">
        <v>40000</v>
      </c>
      <c r="O124" s="27">
        <v>715.5</v>
      </c>
      <c r="P124" s="27">
        <v>50000</v>
      </c>
      <c r="Q124" s="498">
        <f>650+101980</f>
        <v>102630</v>
      </c>
      <c r="R124" s="481">
        <f t="shared" si="15"/>
        <v>205.26</v>
      </c>
    </row>
    <row r="125" spans="1:18" ht="15.75" thickBot="1">
      <c r="A125" s="190" t="s">
        <v>340</v>
      </c>
      <c r="B125" s="688" t="s">
        <v>89</v>
      </c>
      <c r="C125" s="681"/>
      <c r="D125" s="60">
        <v>16298</v>
      </c>
      <c r="E125" s="60">
        <f>SUM(E126:E137)</f>
        <v>196674</v>
      </c>
      <c r="F125" s="60">
        <f>SUM(F126:F137)</f>
        <v>276704</v>
      </c>
      <c r="G125" s="60">
        <v>322185</v>
      </c>
      <c r="H125" s="60">
        <v>434860</v>
      </c>
      <c r="I125" s="60">
        <f>SUM(I126:I137)</f>
        <v>399432</v>
      </c>
      <c r="J125" s="60">
        <f>SUM(J126:J137)</f>
        <v>332348</v>
      </c>
      <c r="K125" s="60">
        <f>SUM(K126:K137)</f>
        <v>315787</v>
      </c>
      <c r="L125" s="192">
        <f aca="true" t="shared" si="23" ref="L125:Q125">SUM(L126:L139)</f>
        <v>311192.31999999995</v>
      </c>
      <c r="M125" s="192">
        <f t="shared" si="23"/>
        <v>355810.5</v>
      </c>
      <c r="N125" s="94">
        <f t="shared" si="23"/>
        <v>384915.19</v>
      </c>
      <c r="O125" s="94">
        <f t="shared" si="23"/>
        <v>388070.83</v>
      </c>
      <c r="P125" s="94">
        <f t="shared" si="23"/>
        <v>420573</v>
      </c>
      <c r="Q125" s="454">
        <f t="shared" si="23"/>
        <v>361113.8</v>
      </c>
      <c r="R125" s="566">
        <f t="shared" si="15"/>
        <v>85.86233543284995</v>
      </c>
    </row>
    <row r="126" spans="1:18" ht="12.75">
      <c r="A126" s="710"/>
      <c r="B126" s="292"/>
      <c r="C126" s="202" t="s">
        <v>328</v>
      </c>
      <c r="D126" s="293">
        <v>4913</v>
      </c>
      <c r="E126" s="293">
        <v>3850</v>
      </c>
      <c r="F126" s="293">
        <v>5112</v>
      </c>
      <c r="G126" s="293"/>
      <c r="H126" s="293"/>
      <c r="I126" s="202">
        <v>6756</v>
      </c>
      <c r="J126" s="293">
        <v>7114</v>
      </c>
      <c r="K126" s="37">
        <v>7113</v>
      </c>
      <c r="L126" s="84">
        <v>7438.6</v>
      </c>
      <c r="M126" s="181">
        <v>12903.29</v>
      </c>
      <c r="N126" s="84">
        <v>10157.04</v>
      </c>
      <c r="O126" s="84">
        <v>15460.72</v>
      </c>
      <c r="P126" s="84">
        <v>14300</v>
      </c>
      <c r="Q126" s="530">
        <f>1789.53+1504+265+5633.47</f>
        <v>9192</v>
      </c>
      <c r="R126" s="483">
        <f t="shared" si="15"/>
        <v>64.27972027972028</v>
      </c>
    </row>
    <row r="127" spans="1:18" ht="12.75" hidden="1">
      <c r="A127" s="713"/>
      <c r="B127" s="294"/>
      <c r="C127" s="204" t="s">
        <v>249</v>
      </c>
      <c r="D127" s="295"/>
      <c r="E127" s="295"/>
      <c r="F127" s="295"/>
      <c r="G127" s="295"/>
      <c r="H127" s="295"/>
      <c r="I127" s="296">
        <v>48971</v>
      </c>
      <c r="J127" s="295"/>
      <c r="K127" s="51"/>
      <c r="L127" s="21"/>
      <c r="M127" s="105"/>
      <c r="N127" s="21"/>
      <c r="O127" s="21"/>
      <c r="P127" s="21"/>
      <c r="Q127" s="531"/>
      <c r="R127" s="479">
        <f t="shared" si="15"/>
        <v>0</v>
      </c>
    </row>
    <row r="128" spans="1:18" ht="12.75">
      <c r="A128" s="713"/>
      <c r="B128" s="294"/>
      <c r="C128" s="204" t="s">
        <v>235</v>
      </c>
      <c r="D128" s="295"/>
      <c r="E128" s="295"/>
      <c r="F128" s="295"/>
      <c r="G128" s="295"/>
      <c r="H128" s="295"/>
      <c r="I128" s="296">
        <v>24304</v>
      </c>
      <c r="J128" s="295">
        <v>10566</v>
      </c>
      <c r="K128" s="51">
        <v>3350</v>
      </c>
      <c r="L128" s="21">
        <v>4052</v>
      </c>
      <c r="M128" s="105">
        <v>10555.27</v>
      </c>
      <c r="N128" s="21"/>
      <c r="O128" s="21">
        <v>12040.65</v>
      </c>
      <c r="P128" s="21">
        <v>17940</v>
      </c>
      <c r="Q128" s="531">
        <f>2370.58+8114+2485.92</f>
        <v>12970.5</v>
      </c>
      <c r="R128" s="479">
        <f t="shared" si="15"/>
        <v>72.29933110367894</v>
      </c>
    </row>
    <row r="129" spans="1:18" ht="12.75">
      <c r="A129" s="713"/>
      <c r="B129" s="294"/>
      <c r="C129" s="204" t="s">
        <v>219</v>
      </c>
      <c r="D129" s="295"/>
      <c r="E129" s="295"/>
      <c r="F129" s="295"/>
      <c r="G129" s="295"/>
      <c r="H129" s="295"/>
      <c r="I129" s="296"/>
      <c r="J129" s="295"/>
      <c r="K129" s="51"/>
      <c r="L129" s="21"/>
      <c r="M129" s="105">
        <v>19000</v>
      </c>
      <c r="N129" s="21">
        <v>10407.57</v>
      </c>
      <c r="O129" s="21">
        <v>19000</v>
      </c>
      <c r="P129" s="21">
        <v>15000</v>
      </c>
      <c r="Q129" s="531">
        <v>15000</v>
      </c>
      <c r="R129" s="479">
        <f t="shared" si="15"/>
        <v>100</v>
      </c>
    </row>
    <row r="130" spans="1:18" ht="12.75">
      <c r="A130" s="713"/>
      <c r="B130" s="294"/>
      <c r="C130" s="204" t="s">
        <v>371</v>
      </c>
      <c r="D130" s="295"/>
      <c r="E130" s="295"/>
      <c r="F130" s="295"/>
      <c r="G130" s="295"/>
      <c r="H130" s="295"/>
      <c r="I130" s="296"/>
      <c r="J130" s="295"/>
      <c r="K130" s="51"/>
      <c r="L130" s="21"/>
      <c r="M130" s="105"/>
      <c r="N130" s="21">
        <v>15000</v>
      </c>
      <c r="O130" s="21">
        <v>2377</v>
      </c>
      <c r="P130" s="21">
        <v>7000</v>
      </c>
      <c r="Q130" s="531">
        <f>334.4+178.8+970+1600</f>
        <v>3083.2</v>
      </c>
      <c r="R130" s="479">
        <f t="shared" si="15"/>
        <v>44.04571428571428</v>
      </c>
    </row>
    <row r="131" spans="1:18" ht="12.75">
      <c r="A131" s="713"/>
      <c r="B131" s="297"/>
      <c r="C131" s="204" t="s">
        <v>329</v>
      </c>
      <c r="D131" s="184"/>
      <c r="E131" s="184">
        <v>7568</v>
      </c>
      <c r="F131" s="184">
        <v>15767</v>
      </c>
      <c r="G131" s="184">
        <v>15084</v>
      </c>
      <c r="H131" s="184"/>
      <c r="I131" s="204">
        <v>13552</v>
      </c>
      <c r="J131" s="184">
        <v>11060</v>
      </c>
      <c r="K131" s="39">
        <v>9650</v>
      </c>
      <c r="L131" s="24">
        <v>9100</v>
      </c>
      <c r="M131" s="183">
        <v>10889.5</v>
      </c>
      <c r="N131" s="24">
        <v>15000</v>
      </c>
      <c r="O131" s="24">
        <v>7950</v>
      </c>
      <c r="P131" s="24">
        <v>14000</v>
      </c>
      <c r="Q131" s="531">
        <f>7600+4100</f>
        <v>11700</v>
      </c>
      <c r="R131" s="479">
        <f t="shared" si="15"/>
        <v>83.57142857142857</v>
      </c>
    </row>
    <row r="132" spans="1:18" ht="12.75" hidden="1">
      <c r="A132" s="713"/>
      <c r="B132" s="297"/>
      <c r="C132" s="204" t="s">
        <v>359</v>
      </c>
      <c r="D132" s="184"/>
      <c r="E132" s="184"/>
      <c r="F132" s="184"/>
      <c r="G132" s="184"/>
      <c r="H132" s="184"/>
      <c r="I132" s="204"/>
      <c r="J132" s="184"/>
      <c r="K132" s="39"/>
      <c r="L132" s="24"/>
      <c r="M132" s="24"/>
      <c r="N132" s="24"/>
      <c r="O132" s="24">
        <v>10000</v>
      </c>
      <c r="P132" s="24">
        <v>0</v>
      </c>
      <c r="Q132" s="531"/>
      <c r="R132" s="479">
        <f t="shared" si="15"/>
        <v>0</v>
      </c>
    </row>
    <row r="133" spans="1:18" ht="12.75">
      <c r="A133" s="713"/>
      <c r="B133" s="297"/>
      <c r="C133" s="204" t="s">
        <v>86</v>
      </c>
      <c r="D133" s="184"/>
      <c r="E133" s="184"/>
      <c r="F133" s="184"/>
      <c r="G133" s="184"/>
      <c r="H133" s="184"/>
      <c r="I133" s="204"/>
      <c r="J133" s="184"/>
      <c r="K133" s="39"/>
      <c r="L133" s="24"/>
      <c r="M133" s="24"/>
      <c r="N133" s="24">
        <v>256.58</v>
      </c>
      <c r="O133" s="24">
        <v>4000</v>
      </c>
      <c r="P133" s="24">
        <v>5000</v>
      </c>
      <c r="Q133" s="531">
        <v>5000</v>
      </c>
      <c r="R133" s="479">
        <f t="shared" si="15"/>
        <v>100</v>
      </c>
    </row>
    <row r="134" spans="1:18" ht="12.75">
      <c r="A134" s="713"/>
      <c r="B134" s="297"/>
      <c r="C134" s="204" t="s">
        <v>436</v>
      </c>
      <c r="D134" s="184"/>
      <c r="E134" s="184"/>
      <c r="F134" s="184"/>
      <c r="G134" s="184"/>
      <c r="H134" s="184"/>
      <c r="I134" s="204"/>
      <c r="J134" s="184"/>
      <c r="K134" s="39"/>
      <c r="L134" s="24"/>
      <c r="M134" s="24"/>
      <c r="N134" s="24">
        <v>4000</v>
      </c>
      <c r="O134" s="24">
        <v>1050</v>
      </c>
      <c r="P134" s="24">
        <v>16000</v>
      </c>
      <c r="Q134" s="531">
        <f>1400+3735+1200</f>
        <v>6335</v>
      </c>
      <c r="R134" s="479">
        <f aca="true" t="shared" si="24" ref="R134:R197">IF(P134=0,0,Q134/P134)*100</f>
        <v>39.59375</v>
      </c>
    </row>
    <row r="135" spans="1:18" ht="12.75">
      <c r="A135" s="713"/>
      <c r="B135" s="297"/>
      <c r="C135" s="204" t="s">
        <v>214</v>
      </c>
      <c r="D135" s="184"/>
      <c r="E135" s="184">
        <v>58189</v>
      </c>
      <c r="F135" s="184">
        <v>75483</v>
      </c>
      <c r="G135" s="184">
        <v>91400</v>
      </c>
      <c r="H135" s="184"/>
      <c r="I135" s="204">
        <v>152242</v>
      </c>
      <c r="J135" s="184">
        <v>162681</v>
      </c>
      <c r="K135" s="39">
        <v>150333</v>
      </c>
      <c r="L135" s="24">
        <v>119218</v>
      </c>
      <c r="M135" s="183">
        <v>148153</v>
      </c>
      <c r="N135" s="24">
        <v>76969</v>
      </c>
      <c r="O135" s="24">
        <v>70558</v>
      </c>
      <c r="P135" s="24">
        <v>75500</v>
      </c>
      <c r="Q135" s="531">
        <v>42000.1</v>
      </c>
      <c r="R135" s="479">
        <f t="shared" si="24"/>
        <v>55.6292715231788</v>
      </c>
    </row>
    <row r="136" spans="1:18" ht="12.75">
      <c r="A136" s="713"/>
      <c r="B136" s="297"/>
      <c r="C136" s="204" t="s">
        <v>215</v>
      </c>
      <c r="D136" s="184"/>
      <c r="E136" s="184">
        <v>99250</v>
      </c>
      <c r="F136" s="184">
        <v>153754</v>
      </c>
      <c r="G136" s="184">
        <v>143286</v>
      </c>
      <c r="H136" s="184"/>
      <c r="I136" s="204">
        <v>86643</v>
      </c>
      <c r="J136" s="184">
        <v>82311</v>
      </c>
      <c r="K136" s="39">
        <v>93232</v>
      </c>
      <c r="L136" s="24">
        <v>109100</v>
      </c>
      <c r="M136" s="183">
        <v>88221</v>
      </c>
      <c r="N136" s="24">
        <v>81209</v>
      </c>
      <c r="O136" s="24">
        <v>72867</v>
      </c>
      <c r="P136" s="24">
        <v>77400</v>
      </c>
      <c r="Q136" s="531">
        <v>77400</v>
      </c>
      <c r="R136" s="479">
        <f t="shared" si="24"/>
        <v>100</v>
      </c>
    </row>
    <row r="137" spans="1:18" ht="12.75">
      <c r="A137" s="713"/>
      <c r="B137" s="298"/>
      <c r="C137" s="38" t="s">
        <v>216</v>
      </c>
      <c r="D137" s="39"/>
      <c r="E137" s="39">
        <v>27817</v>
      </c>
      <c r="F137" s="39">
        <v>26588</v>
      </c>
      <c r="G137" s="39">
        <v>25790</v>
      </c>
      <c r="H137" s="39"/>
      <c r="I137" s="38">
        <v>66964</v>
      </c>
      <c r="J137" s="39">
        <v>58616</v>
      </c>
      <c r="K137" s="39">
        <v>52109</v>
      </c>
      <c r="L137" s="39">
        <v>49442</v>
      </c>
      <c r="M137" s="101">
        <v>49808</v>
      </c>
      <c r="N137" s="24">
        <v>60863</v>
      </c>
      <c r="O137" s="24">
        <v>64900</v>
      </c>
      <c r="P137" s="24">
        <v>67942</v>
      </c>
      <c r="Q137" s="531">
        <v>67942</v>
      </c>
      <c r="R137" s="479">
        <f t="shared" si="24"/>
        <v>100</v>
      </c>
    </row>
    <row r="138" spans="1:18" ht="12.75">
      <c r="A138" s="713"/>
      <c r="B138" s="407"/>
      <c r="C138" s="42" t="s">
        <v>217</v>
      </c>
      <c r="D138" s="65"/>
      <c r="E138" s="65"/>
      <c r="F138" s="65"/>
      <c r="G138" s="65"/>
      <c r="H138" s="65"/>
      <c r="I138" s="42"/>
      <c r="J138" s="65"/>
      <c r="K138" s="65"/>
      <c r="L138" s="65">
        <v>12841.72</v>
      </c>
      <c r="M138" s="229">
        <v>16280.44</v>
      </c>
      <c r="N138" s="27">
        <v>18152</v>
      </c>
      <c r="O138" s="27">
        <v>24031</v>
      </c>
      <c r="P138" s="27">
        <v>24298</v>
      </c>
      <c r="Q138" s="531">
        <v>24298</v>
      </c>
      <c r="R138" s="479">
        <f t="shared" si="24"/>
        <v>100</v>
      </c>
    </row>
    <row r="139" spans="1:18" ht="13.5" thickBot="1">
      <c r="A139" s="711"/>
      <c r="B139" s="299"/>
      <c r="C139" s="41" t="s">
        <v>218</v>
      </c>
      <c r="D139" s="54"/>
      <c r="E139" s="54"/>
      <c r="F139" s="54"/>
      <c r="G139" s="54"/>
      <c r="H139" s="54"/>
      <c r="I139" s="41"/>
      <c r="J139" s="54"/>
      <c r="K139" s="54"/>
      <c r="L139" s="54"/>
      <c r="M139" s="54"/>
      <c r="N139" s="43">
        <v>92901</v>
      </c>
      <c r="O139" s="43">
        <v>83836.46</v>
      </c>
      <c r="P139" s="43">
        <v>86193</v>
      </c>
      <c r="Q139" s="498">
        <v>86193</v>
      </c>
      <c r="R139" s="481">
        <f t="shared" si="24"/>
        <v>100</v>
      </c>
    </row>
    <row r="140" spans="1:18" ht="19.5" customHeight="1" thickBot="1">
      <c r="A140" s="268" t="s">
        <v>330</v>
      </c>
      <c r="B140" s="688" t="s">
        <v>0</v>
      </c>
      <c r="C140" s="681"/>
      <c r="D140" s="60">
        <f>SUM(D141:D142)</f>
        <v>0</v>
      </c>
      <c r="E140" s="60">
        <f>SUM(E141:E142)</f>
        <v>44944</v>
      </c>
      <c r="F140" s="60">
        <f>SUM(F141:F142)</f>
        <v>55765</v>
      </c>
      <c r="G140" s="60">
        <f>SUM(G141:G142)</f>
        <v>48780</v>
      </c>
      <c r="H140" s="60">
        <f aca="true" t="shared" si="25" ref="H140:M140">SUM(H141:H142)</f>
        <v>52570</v>
      </c>
      <c r="I140" s="60">
        <f t="shared" si="25"/>
        <v>48691</v>
      </c>
      <c r="J140" s="60">
        <f t="shared" si="25"/>
        <v>46108</v>
      </c>
      <c r="K140" s="69">
        <f t="shared" si="25"/>
        <v>47470</v>
      </c>
      <c r="L140" s="70">
        <f t="shared" si="25"/>
        <v>48334.8</v>
      </c>
      <c r="M140" s="70">
        <f t="shared" si="25"/>
        <v>45244.8</v>
      </c>
      <c r="N140" s="368">
        <f>SUM(N141:N142)</f>
        <v>51246.22</v>
      </c>
      <c r="O140" s="368">
        <f>SUM(O141:O142)</f>
        <v>45133.520000000004</v>
      </c>
      <c r="P140" s="368">
        <f>SUM(P141:P142)</f>
        <v>50314</v>
      </c>
      <c r="Q140" s="454">
        <f>SUM(Q141:Q142)</f>
        <v>47476.15</v>
      </c>
      <c r="R140" s="566">
        <f t="shared" si="24"/>
        <v>94.35972095241881</v>
      </c>
    </row>
    <row r="141" spans="1:18" ht="12.75">
      <c r="A141" s="710"/>
      <c r="B141" s="207">
        <v>630</v>
      </c>
      <c r="C141" s="202" t="s">
        <v>223</v>
      </c>
      <c r="D141" s="293"/>
      <c r="E141" s="293">
        <v>36679</v>
      </c>
      <c r="F141" s="293">
        <v>46803</v>
      </c>
      <c r="G141" s="293">
        <v>39726</v>
      </c>
      <c r="H141" s="293">
        <v>43006</v>
      </c>
      <c r="I141" s="202">
        <v>38795</v>
      </c>
      <c r="J141" s="202">
        <v>36600</v>
      </c>
      <c r="K141" s="37">
        <v>37500</v>
      </c>
      <c r="L141" s="181">
        <v>40890</v>
      </c>
      <c r="M141" s="181">
        <v>37800</v>
      </c>
      <c r="N141" s="84">
        <v>39750</v>
      </c>
      <c r="O141" s="84">
        <v>33550</v>
      </c>
      <c r="P141" s="84">
        <v>38064</v>
      </c>
      <c r="Q141" s="530">
        <v>37036.15</v>
      </c>
      <c r="R141" s="483">
        <f t="shared" si="24"/>
        <v>97.29967948717949</v>
      </c>
    </row>
    <row r="142" spans="1:18" ht="13.5" thickBot="1">
      <c r="A142" s="711"/>
      <c r="B142" s="228">
        <v>630</v>
      </c>
      <c r="C142" s="276" t="s">
        <v>1</v>
      </c>
      <c r="D142" s="278"/>
      <c r="E142" s="278">
        <v>8265</v>
      </c>
      <c r="F142" s="278">
        <v>8962</v>
      </c>
      <c r="G142" s="278">
        <v>9054</v>
      </c>
      <c r="H142" s="278">
        <v>9564</v>
      </c>
      <c r="I142" s="276">
        <v>9896</v>
      </c>
      <c r="J142" s="276">
        <v>9508</v>
      </c>
      <c r="K142" s="54">
        <v>9970</v>
      </c>
      <c r="L142" s="230">
        <v>7444.8</v>
      </c>
      <c r="M142" s="230">
        <v>7444.8</v>
      </c>
      <c r="N142" s="43">
        <v>11496.22</v>
      </c>
      <c r="O142" s="43">
        <v>11583.52</v>
      </c>
      <c r="P142" s="43">
        <v>12250</v>
      </c>
      <c r="Q142" s="498">
        <v>10440</v>
      </c>
      <c r="R142" s="481">
        <f t="shared" si="24"/>
        <v>85.22448979591837</v>
      </c>
    </row>
    <row r="143" spans="1:18" ht="17.25" customHeight="1" thickBot="1">
      <c r="A143" s="242" t="s">
        <v>79</v>
      </c>
      <c r="B143" s="688" t="s">
        <v>2</v>
      </c>
      <c r="C143" s="681"/>
      <c r="D143" s="60">
        <v>6008</v>
      </c>
      <c r="E143" s="60">
        <f>SUM(E144:E147)</f>
        <v>6373</v>
      </c>
      <c r="F143" s="60">
        <f>SUM(F144:F147)</f>
        <v>76413</v>
      </c>
      <c r="G143" s="60">
        <f>SUM(G144:G147)</f>
        <v>50904</v>
      </c>
      <c r="H143" s="60">
        <v>43602</v>
      </c>
      <c r="I143" s="60">
        <f aca="true" t="shared" si="26" ref="I143:Q143">SUM(I144:I147)</f>
        <v>80402</v>
      </c>
      <c r="J143" s="60">
        <f t="shared" si="26"/>
        <v>65201</v>
      </c>
      <c r="K143" s="60">
        <f t="shared" si="26"/>
        <v>82763</v>
      </c>
      <c r="L143" s="192">
        <f t="shared" si="26"/>
        <v>85325.96</v>
      </c>
      <c r="M143" s="192">
        <f t="shared" si="26"/>
        <v>98428.31</v>
      </c>
      <c r="N143" s="94">
        <f t="shared" si="26"/>
        <v>91637.84999999999</v>
      </c>
      <c r="O143" s="94">
        <f t="shared" si="26"/>
        <v>98282.1</v>
      </c>
      <c r="P143" s="94">
        <f t="shared" si="26"/>
        <v>111443</v>
      </c>
      <c r="Q143" s="454">
        <f t="shared" si="26"/>
        <v>86440.45</v>
      </c>
      <c r="R143" s="566">
        <f t="shared" si="24"/>
        <v>77.56471918379799</v>
      </c>
    </row>
    <row r="144" spans="1:18" ht="12.75" hidden="1">
      <c r="A144" s="722"/>
      <c r="B144" s="728"/>
      <c r="C144" s="36" t="s">
        <v>3</v>
      </c>
      <c r="D144" s="37"/>
      <c r="E144" s="37">
        <v>5842</v>
      </c>
      <c r="F144" s="37">
        <v>6108</v>
      </c>
      <c r="G144" s="37">
        <v>13480</v>
      </c>
      <c r="H144" s="37">
        <v>6009</v>
      </c>
      <c r="I144" s="36">
        <v>6900</v>
      </c>
      <c r="J144" s="293">
        <v>3787</v>
      </c>
      <c r="K144" s="37">
        <v>3290</v>
      </c>
      <c r="L144" s="181">
        <v>1483</v>
      </c>
      <c r="M144" s="181">
        <v>9142.95</v>
      </c>
      <c r="N144" s="84">
        <v>5153.01</v>
      </c>
      <c r="O144" s="84"/>
      <c r="P144" s="84"/>
      <c r="Q144" s="506"/>
      <c r="R144" s="569">
        <f t="shared" si="24"/>
        <v>0</v>
      </c>
    </row>
    <row r="145" spans="1:18" ht="12.75">
      <c r="A145" s="723"/>
      <c r="B145" s="729"/>
      <c r="C145" s="38" t="s">
        <v>174</v>
      </c>
      <c r="D145" s="39"/>
      <c r="E145" s="39"/>
      <c r="F145" s="39"/>
      <c r="G145" s="39"/>
      <c r="H145" s="39"/>
      <c r="I145" s="38"/>
      <c r="J145" s="184"/>
      <c r="K145" s="39"/>
      <c r="L145" s="105"/>
      <c r="M145" s="105"/>
      <c r="N145" s="21"/>
      <c r="O145" s="21">
        <v>4985.1</v>
      </c>
      <c r="P145" s="21">
        <v>14443</v>
      </c>
      <c r="Q145" s="530">
        <f>8118+7+14.9+6318.11</f>
        <v>14458.009999999998</v>
      </c>
      <c r="R145" s="483">
        <f t="shared" si="24"/>
        <v>100.1039257771931</v>
      </c>
    </row>
    <row r="146" spans="1:18" ht="12.75">
      <c r="A146" s="723"/>
      <c r="B146" s="729"/>
      <c r="C146" s="38" t="s">
        <v>4</v>
      </c>
      <c r="D146" s="39"/>
      <c r="E146" s="39">
        <v>0</v>
      </c>
      <c r="F146" s="39">
        <v>66388</v>
      </c>
      <c r="G146" s="39">
        <v>33390</v>
      </c>
      <c r="H146" s="39">
        <v>32749</v>
      </c>
      <c r="I146" s="38">
        <v>70000</v>
      </c>
      <c r="J146" s="184">
        <v>59118</v>
      </c>
      <c r="K146" s="39">
        <v>75103</v>
      </c>
      <c r="L146" s="183">
        <v>81056.96</v>
      </c>
      <c r="M146" s="183">
        <v>86285.36</v>
      </c>
      <c r="N146" s="24">
        <v>5874.72</v>
      </c>
      <c r="O146" s="24">
        <v>90485</v>
      </c>
      <c r="P146" s="24">
        <v>94000</v>
      </c>
      <c r="Q146" s="531">
        <v>71812.44</v>
      </c>
      <c r="R146" s="479">
        <f t="shared" si="24"/>
        <v>76.39621276595744</v>
      </c>
    </row>
    <row r="147" spans="1:18" ht="13.5" thickBot="1">
      <c r="A147" s="724"/>
      <c r="B147" s="730"/>
      <c r="C147" s="102" t="s">
        <v>5</v>
      </c>
      <c r="D147" s="188"/>
      <c r="E147" s="188">
        <v>531</v>
      </c>
      <c r="F147" s="188">
        <v>3917</v>
      </c>
      <c r="G147" s="188">
        <v>4034</v>
      </c>
      <c r="H147" s="188">
        <v>796</v>
      </c>
      <c r="I147" s="102">
        <v>3502</v>
      </c>
      <c r="J147" s="278">
        <v>2296</v>
      </c>
      <c r="K147" s="54">
        <v>4370</v>
      </c>
      <c r="L147" s="189">
        <v>2786</v>
      </c>
      <c r="M147" s="189">
        <v>3000</v>
      </c>
      <c r="N147" s="68">
        <v>80610.12</v>
      </c>
      <c r="O147" s="68">
        <v>2812</v>
      </c>
      <c r="P147" s="68">
        <v>3000</v>
      </c>
      <c r="Q147" s="516">
        <v>170</v>
      </c>
      <c r="R147" s="487">
        <f t="shared" si="24"/>
        <v>5.666666666666666</v>
      </c>
    </row>
    <row r="148" spans="1:22" ht="15.75" thickBot="1">
      <c r="A148" s="190" t="s">
        <v>6</v>
      </c>
      <c r="B148" s="688" t="s">
        <v>7</v>
      </c>
      <c r="C148" s="681"/>
      <c r="D148" s="60">
        <v>2960832</v>
      </c>
      <c r="E148" s="60">
        <v>3369814</v>
      </c>
      <c r="F148" s="60">
        <v>3780057</v>
      </c>
      <c r="G148" s="60">
        <v>4405952.43</v>
      </c>
      <c r="H148" s="60">
        <v>4455752</v>
      </c>
      <c r="I148" s="60">
        <f aca="true" t="shared" si="27" ref="I148:N148">I149+I154</f>
        <v>4609033</v>
      </c>
      <c r="J148" s="60">
        <f t="shared" si="27"/>
        <v>4840194</v>
      </c>
      <c r="K148" s="60">
        <f t="shared" si="27"/>
        <v>4773475</v>
      </c>
      <c r="L148" s="192">
        <f>L149+L154</f>
        <v>4944992.85</v>
      </c>
      <c r="M148" s="192">
        <f t="shared" si="27"/>
        <v>5255422.85</v>
      </c>
      <c r="N148" s="94">
        <f t="shared" si="27"/>
        <v>5401219.45</v>
      </c>
      <c r="O148" s="94">
        <f>O149+O154</f>
        <v>5606281.4399999995</v>
      </c>
      <c r="P148" s="94">
        <f>P149+P154</f>
        <v>5920872</v>
      </c>
      <c r="Q148" s="454">
        <f>Q149+Q154</f>
        <v>5915004.52</v>
      </c>
      <c r="R148" s="566">
        <f t="shared" si="24"/>
        <v>99.9009017590652</v>
      </c>
      <c r="U148" s="539"/>
      <c r="V148" s="488"/>
    </row>
    <row r="149" spans="1:22" ht="13.5" thickBot="1">
      <c r="A149" s="722"/>
      <c r="B149" s="733" t="s">
        <v>236</v>
      </c>
      <c r="C149" s="734"/>
      <c r="D149" s="58">
        <v>29177</v>
      </c>
      <c r="E149" s="58">
        <v>27518</v>
      </c>
      <c r="F149" s="58">
        <v>28447</v>
      </c>
      <c r="G149" s="58">
        <v>30677</v>
      </c>
      <c r="H149" s="58">
        <v>31410</v>
      </c>
      <c r="I149" s="58">
        <f aca="true" t="shared" si="28" ref="I149:N149">SUM(I150:I152)</f>
        <v>41249</v>
      </c>
      <c r="J149" s="58">
        <f t="shared" si="28"/>
        <v>38808</v>
      </c>
      <c r="K149" s="58">
        <f t="shared" si="28"/>
        <v>36313</v>
      </c>
      <c r="L149" s="138">
        <f>SUM(L150:L152)</f>
        <v>35493.83</v>
      </c>
      <c r="M149" s="138">
        <f>SUM(M150:M153)</f>
        <v>51463.89000000001</v>
      </c>
      <c r="N149" s="87">
        <f t="shared" si="28"/>
        <v>56202.630000000005</v>
      </c>
      <c r="O149" s="87">
        <f>SUM(O150:O152)</f>
        <v>54280.090000000004</v>
      </c>
      <c r="P149" s="87">
        <f>SUM(P150:P152)</f>
        <v>60887</v>
      </c>
      <c r="Q149" s="124">
        <f>SUM(Q150:Q153)</f>
        <v>61314.87</v>
      </c>
      <c r="R149" s="125">
        <f t="shared" si="24"/>
        <v>100.70272800433591</v>
      </c>
      <c r="V149" s="539"/>
    </row>
    <row r="150" spans="1:18" ht="12.75">
      <c r="A150" s="723"/>
      <c r="B150" s="285">
        <v>610</v>
      </c>
      <c r="C150" s="63" t="s">
        <v>264</v>
      </c>
      <c r="D150" s="220"/>
      <c r="E150" s="220">
        <v>18854</v>
      </c>
      <c r="F150" s="220">
        <v>18290</v>
      </c>
      <c r="G150" s="220">
        <v>19464</v>
      </c>
      <c r="H150" s="220">
        <v>22248</v>
      </c>
      <c r="I150" s="128">
        <v>29541</v>
      </c>
      <c r="J150" s="184">
        <v>26330</v>
      </c>
      <c r="K150" s="39">
        <v>25388</v>
      </c>
      <c r="L150" s="220">
        <v>24578.53</v>
      </c>
      <c r="M150" s="438">
        <v>33902.8</v>
      </c>
      <c r="N150" s="443">
        <v>34953.55</v>
      </c>
      <c r="O150" s="443">
        <v>37117.04</v>
      </c>
      <c r="P150" s="443">
        <v>41807</v>
      </c>
      <c r="Q150" s="530">
        <v>39049.72</v>
      </c>
      <c r="R150" s="483">
        <f t="shared" si="24"/>
        <v>93.40474083287488</v>
      </c>
    </row>
    <row r="151" spans="1:18" ht="12.75">
      <c r="A151" s="723"/>
      <c r="B151" s="208">
        <v>620</v>
      </c>
      <c r="C151" s="38" t="s">
        <v>265</v>
      </c>
      <c r="D151" s="39"/>
      <c r="E151" s="39">
        <v>6473</v>
      </c>
      <c r="F151" s="39">
        <v>6340</v>
      </c>
      <c r="G151" s="39">
        <v>6869</v>
      </c>
      <c r="H151" s="39">
        <v>6877</v>
      </c>
      <c r="I151" s="38">
        <v>9575</v>
      </c>
      <c r="J151" s="184">
        <v>9735</v>
      </c>
      <c r="K151" s="39">
        <v>9358</v>
      </c>
      <c r="L151" s="39">
        <v>9719.8</v>
      </c>
      <c r="M151" s="171">
        <v>11551.79</v>
      </c>
      <c r="N151" s="86">
        <v>12736.3</v>
      </c>
      <c r="O151" s="86">
        <v>13736.32</v>
      </c>
      <c r="P151" s="86">
        <v>15080</v>
      </c>
      <c r="Q151" s="531">
        <v>15439.53</v>
      </c>
      <c r="R151" s="479">
        <f t="shared" si="24"/>
        <v>102.38415119363395</v>
      </c>
    </row>
    <row r="152" spans="1:18" ht="13.5" thickBot="1">
      <c r="A152" s="723"/>
      <c r="B152" s="182">
        <v>630</v>
      </c>
      <c r="C152" s="38" t="s">
        <v>266</v>
      </c>
      <c r="D152" s="54"/>
      <c r="E152" s="54">
        <v>2191</v>
      </c>
      <c r="F152" s="54">
        <v>3817</v>
      </c>
      <c r="G152" s="54">
        <v>4344</v>
      </c>
      <c r="H152" s="54">
        <v>2285</v>
      </c>
      <c r="I152" s="41">
        <v>2133</v>
      </c>
      <c r="J152" s="184">
        <v>2743</v>
      </c>
      <c r="K152" s="39">
        <v>1567</v>
      </c>
      <c r="L152" s="39">
        <v>1195.5</v>
      </c>
      <c r="M152" s="101">
        <v>1127.3</v>
      </c>
      <c r="N152" s="24">
        <v>8512.78</v>
      </c>
      <c r="O152" s="24">
        <v>3426.73</v>
      </c>
      <c r="P152" s="24">
        <v>4000</v>
      </c>
      <c r="Q152" s="531">
        <v>3125.62</v>
      </c>
      <c r="R152" s="479">
        <f t="shared" si="24"/>
        <v>78.1405</v>
      </c>
    </row>
    <row r="153" spans="1:18" ht="13.5" thickBot="1">
      <c r="A153" s="723"/>
      <c r="B153" s="40">
        <v>640</v>
      </c>
      <c r="C153" s="238" t="s">
        <v>267</v>
      </c>
      <c r="D153" s="188"/>
      <c r="E153" s="188"/>
      <c r="F153" s="188"/>
      <c r="G153" s="188"/>
      <c r="H153" s="188"/>
      <c r="I153" s="102"/>
      <c r="J153" s="211"/>
      <c r="K153" s="220"/>
      <c r="L153" s="220"/>
      <c r="M153" s="436">
        <v>4882</v>
      </c>
      <c r="N153" s="62"/>
      <c r="O153" s="62"/>
      <c r="P153" s="62"/>
      <c r="Q153" s="533">
        <v>3700</v>
      </c>
      <c r="R153" s="567">
        <f t="shared" si="24"/>
        <v>0</v>
      </c>
    </row>
    <row r="154" spans="1:18" ht="13.5" thickBot="1">
      <c r="A154" s="723"/>
      <c r="B154" s="731" t="s">
        <v>8</v>
      </c>
      <c r="C154" s="732"/>
      <c r="D154" s="33">
        <v>2931655</v>
      </c>
      <c r="E154" s="33">
        <v>3342296</v>
      </c>
      <c r="F154" s="33">
        <v>3751610</v>
      </c>
      <c r="G154" s="33">
        <v>4375275.43</v>
      </c>
      <c r="H154" s="33">
        <v>4424342</v>
      </c>
      <c r="I154" s="33">
        <f aca="true" t="shared" si="29" ref="I154:Q154">SUM(I155:I163)</f>
        <v>4567784</v>
      </c>
      <c r="J154" s="33">
        <f t="shared" si="29"/>
        <v>4801386</v>
      </c>
      <c r="K154" s="33">
        <f t="shared" si="29"/>
        <v>4737162</v>
      </c>
      <c r="L154" s="300">
        <f t="shared" si="29"/>
        <v>4909499.02</v>
      </c>
      <c r="M154" s="300">
        <f t="shared" si="29"/>
        <v>5203958.96</v>
      </c>
      <c r="N154" s="113">
        <f t="shared" si="29"/>
        <v>5345016.82</v>
      </c>
      <c r="O154" s="113">
        <f t="shared" si="29"/>
        <v>5552001.35</v>
      </c>
      <c r="P154" s="113">
        <f t="shared" si="29"/>
        <v>5859985</v>
      </c>
      <c r="Q154" s="464">
        <f t="shared" si="29"/>
        <v>5853689.649999999</v>
      </c>
      <c r="R154" s="574">
        <f t="shared" si="24"/>
        <v>99.89257054412253</v>
      </c>
    </row>
    <row r="155" spans="1:25" ht="12.75">
      <c r="A155" s="723"/>
      <c r="B155" s="728"/>
      <c r="C155" s="63" t="s">
        <v>9</v>
      </c>
      <c r="D155" s="51">
        <v>1541725</v>
      </c>
      <c r="E155" s="51">
        <v>1718084</v>
      </c>
      <c r="F155" s="51">
        <v>1793999</v>
      </c>
      <c r="G155" s="51">
        <v>1958942</v>
      </c>
      <c r="H155" s="51">
        <v>2084677</v>
      </c>
      <c r="I155" s="63">
        <v>2039732</v>
      </c>
      <c r="J155" s="51">
        <v>2241882</v>
      </c>
      <c r="K155" s="51">
        <v>2385291</v>
      </c>
      <c r="L155" s="105">
        <v>2363727.67</v>
      </c>
      <c r="M155" s="105">
        <v>2385302.7</v>
      </c>
      <c r="N155" s="21">
        <v>2457964.41</v>
      </c>
      <c r="O155" s="21">
        <v>2387323.05</v>
      </c>
      <c r="P155" s="21">
        <v>2372918</v>
      </c>
      <c r="Q155" s="530">
        <v>2377088.1</v>
      </c>
      <c r="R155" s="483">
        <f t="shared" si="24"/>
        <v>100.17573721468673</v>
      </c>
      <c r="T155" s="488"/>
      <c r="U155" s="539">
        <f>Q155+Q156+Q157+Q158+Q159+Q160</f>
        <v>5380900.85</v>
      </c>
      <c r="V155" s="488"/>
      <c r="W155" s="488">
        <v>5477109.15</v>
      </c>
      <c r="Y155" s="539">
        <f>W155-U155</f>
        <v>96208.30000000075</v>
      </c>
    </row>
    <row r="156" spans="1:21" ht="12.75">
      <c r="A156" s="723"/>
      <c r="B156" s="729"/>
      <c r="C156" s="38" t="s">
        <v>10</v>
      </c>
      <c r="D156" s="39">
        <v>1389930</v>
      </c>
      <c r="E156" s="39">
        <v>1591682</v>
      </c>
      <c r="F156" s="39">
        <v>1867423</v>
      </c>
      <c r="G156" s="39">
        <v>2134669.43</v>
      </c>
      <c r="H156" s="39">
        <v>2069302</v>
      </c>
      <c r="I156" s="38">
        <v>2182809</v>
      </c>
      <c r="J156" s="39">
        <v>2169532</v>
      </c>
      <c r="K156" s="39">
        <v>1972245</v>
      </c>
      <c r="L156" s="183">
        <v>2097007.99</v>
      </c>
      <c r="M156" s="183">
        <v>2239643.29</v>
      </c>
      <c r="N156" s="24">
        <v>2410623.65</v>
      </c>
      <c r="O156" s="24">
        <v>2546291.14</v>
      </c>
      <c r="P156" s="24">
        <v>2681786</v>
      </c>
      <c r="Q156" s="531">
        <v>2674051.77</v>
      </c>
      <c r="R156" s="479">
        <f t="shared" si="24"/>
        <v>99.7116015222691</v>
      </c>
      <c r="U156" s="539">
        <f>U155+'Kapitálové výdavky'!Q132+'Kapitálové výdavky'!Q131+'Kapitálové výdavky'!Q129</f>
        <v>5482612.54</v>
      </c>
    </row>
    <row r="157" spans="1:21" ht="12.75">
      <c r="A157" s="723"/>
      <c r="B157" s="729"/>
      <c r="C157" s="42" t="s">
        <v>11</v>
      </c>
      <c r="D157" s="65"/>
      <c r="E157" s="65"/>
      <c r="F157" s="65"/>
      <c r="G157" s="65"/>
      <c r="H157" s="65"/>
      <c r="I157" s="42"/>
      <c r="J157" s="42"/>
      <c r="K157" s="65">
        <v>6822</v>
      </c>
      <c r="L157" s="201">
        <v>58464.77</v>
      </c>
      <c r="M157" s="201">
        <v>145561.9699999993</v>
      </c>
      <c r="N157" s="27">
        <v>13019.76</v>
      </c>
      <c r="O157" s="27">
        <v>88405.36</v>
      </c>
      <c r="P157" s="27">
        <v>106887</v>
      </c>
      <c r="Q157" s="531">
        <v>106886.92</v>
      </c>
      <c r="R157" s="479">
        <f t="shared" si="24"/>
        <v>99.99992515460252</v>
      </c>
      <c r="T157" s="488"/>
      <c r="U157" s="539"/>
    </row>
    <row r="158" spans="1:21" ht="12.75">
      <c r="A158" s="723"/>
      <c r="B158" s="729"/>
      <c r="C158" s="42" t="s">
        <v>449</v>
      </c>
      <c r="D158" s="65"/>
      <c r="E158" s="65"/>
      <c r="F158" s="65"/>
      <c r="G158" s="65"/>
      <c r="H158" s="65"/>
      <c r="I158" s="42">
        <v>11276</v>
      </c>
      <c r="J158" s="42">
        <v>23184</v>
      </c>
      <c r="K158" s="65">
        <v>0</v>
      </c>
      <c r="L158" s="201">
        <v>4779.37</v>
      </c>
      <c r="M158" s="201">
        <v>0</v>
      </c>
      <c r="N158" s="27">
        <v>0</v>
      </c>
      <c r="O158" s="27"/>
      <c r="P158" s="27">
        <v>10000</v>
      </c>
      <c r="Q158" s="531">
        <v>10000</v>
      </c>
      <c r="R158" s="479">
        <f t="shared" si="24"/>
        <v>100</v>
      </c>
      <c r="U158" s="539">
        <f>'HOSP.'!O6+'HOSP.'!O10-'bežné výdavky'!U156</f>
        <v>7661745.659999999</v>
      </c>
    </row>
    <row r="159" spans="1:22" ht="12.75">
      <c r="A159" s="723"/>
      <c r="B159" s="729"/>
      <c r="C159" s="42" t="s">
        <v>413</v>
      </c>
      <c r="D159" s="65"/>
      <c r="E159" s="65"/>
      <c r="F159" s="65"/>
      <c r="G159" s="65"/>
      <c r="H159" s="65"/>
      <c r="I159" s="42"/>
      <c r="J159" s="42"/>
      <c r="K159" s="65"/>
      <c r="L159" s="201"/>
      <c r="M159" s="201"/>
      <c r="N159" s="27"/>
      <c r="O159" s="27"/>
      <c r="P159" s="27">
        <v>213500</v>
      </c>
      <c r="Q159" s="531">
        <v>208274.06</v>
      </c>
      <c r="R159" s="479">
        <f t="shared" si="24"/>
        <v>97.55225292740046</v>
      </c>
      <c r="V159" s="488"/>
    </row>
    <row r="160" spans="1:18" ht="12.75">
      <c r="A160" s="723"/>
      <c r="B160" s="729"/>
      <c r="C160" s="42" t="s">
        <v>461</v>
      </c>
      <c r="D160" s="65"/>
      <c r="E160" s="65"/>
      <c r="F160" s="65"/>
      <c r="G160" s="65"/>
      <c r="H160" s="65">
        <v>2568</v>
      </c>
      <c r="I160" s="42">
        <v>2134</v>
      </c>
      <c r="J160" s="42"/>
      <c r="K160" s="65">
        <v>0</v>
      </c>
      <c r="L160" s="201">
        <v>240.97</v>
      </c>
      <c r="M160" s="201">
        <v>0</v>
      </c>
      <c r="N160" s="27">
        <v>0</v>
      </c>
      <c r="O160" s="27"/>
      <c r="P160" s="27">
        <v>4600</v>
      </c>
      <c r="Q160" s="531">
        <v>4600</v>
      </c>
      <c r="R160" s="479">
        <f t="shared" si="24"/>
        <v>100</v>
      </c>
    </row>
    <row r="161" spans="1:18" ht="12.75" hidden="1">
      <c r="A161" s="723"/>
      <c r="B161" s="729"/>
      <c r="C161" s="42" t="s">
        <v>12</v>
      </c>
      <c r="D161" s="65"/>
      <c r="E161" s="65"/>
      <c r="F161" s="65"/>
      <c r="G161" s="65"/>
      <c r="H161" s="65"/>
      <c r="I161" s="42"/>
      <c r="J161" s="42"/>
      <c r="K161" s="65"/>
      <c r="L161" s="201">
        <v>8661.25</v>
      </c>
      <c r="M161" s="201"/>
      <c r="N161" s="27">
        <v>0</v>
      </c>
      <c r="O161" s="27"/>
      <c r="P161" s="27"/>
      <c r="Q161" s="531"/>
      <c r="R161" s="479">
        <f t="shared" si="24"/>
        <v>0</v>
      </c>
    </row>
    <row r="162" spans="1:18" ht="12.75">
      <c r="A162" s="723"/>
      <c r="B162" s="729"/>
      <c r="C162" s="42" t="s">
        <v>360</v>
      </c>
      <c r="D162" s="65"/>
      <c r="E162" s="65"/>
      <c r="F162" s="65"/>
      <c r="G162" s="65"/>
      <c r="H162" s="65">
        <v>2166</v>
      </c>
      <c r="I162" s="42">
        <v>10924</v>
      </c>
      <c r="J162" s="42">
        <v>33868</v>
      </c>
      <c r="K162" s="65">
        <v>0</v>
      </c>
      <c r="L162" s="201"/>
      <c r="M162" s="201"/>
      <c r="N162" s="27">
        <v>0</v>
      </c>
      <c r="O162" s="27">
        <v>415.8</v>
      </c>
      <c r="P162" s="27">
        <v>0</v>
      </c>
      <c r="Q162" s="531">
        <v>2494.8</v>
      </c>
      <c r="R162" s="479">
        <f t="shared" si="24"/>
        <v>0</v>
      </c>
    </row>
    <row r="163" spans="1:20" ht="13.5" thickBot="1">
      <c r="A163" s="724"/>
      <c r="B163" s="730"/>
      <c r="C163" s="41" t="s">
        <v>13</v>
      </c>
      <c r="D163" s="54"/>
      <c r="E163" s="54">
        <v>32530</v>
      </c>
      <c r="F163" s="54">
        <v>90188</v>
      </c>
      <c r="G163" s="54">
        <v>281664</v>
      </c>
      <c r="H163" s="54">
        <v>265629</v>
      </c>
      <c r="I163" s="41">
        <v>320909</v>
      </c>
      <c r="J163" s="41">
        <v>332920</v>
      </c>
      <c r="K163" s="54">
        <v>372804</v>
      </c>
      <c r="L163" s="230">
        <v>376617</v>
      </c>
      <c r="M163" s="230">
        <v>433451</v>
      </c>
      <c r="N163" s="43">
        <v>463409</v>
      </c>
      <c r="O163" s="43">
        <v>529566</v>
      </c>
      <c r="P163" s="43">
        <v>470294</v>
      </c>
      <c r="Q163" s="516">
        <f>459369+10015+910</f>
        <v>470294</v>
      </c>
      <c r="R163" s="487">
        <f t="shared" si="24"/>
        <v>100</v>
      </c>
      <c r="T163" s="539"/>
    </row>
    <row r="164" spans="1:18" ht="15.75" hidden="1" thickBot="1">
      <c r="A164" s="301" t="s">
        <v>14</v>
      </c>
      <c r="B164" s="688" t="s">
        <v>15</v>
      </c>
      <c r="C164" s="681"/>
      <c r="D164" s="60">
        <v>14672</v>
      </c>
      <c r="E164" s="60">
        <v>18356</v>
      </c>
      <c r="F164" s="60">
        <v>24962</v>
      </c>
      <c r="G164" s="60">
        <v>26012</v>
      </c>
      <c r="H164" s="60">
        <v>24167</v>
      </c>
      <c r="I164" s="60">
        <f aca="true" t="shared" si="30" ref="I164:N164">SUM(I165:I168)</f>
        <v>21978</v>
      </c>
      <c r="J164" s="60">
        <f t="shared" si="30"/>
        <v>26182</v>
      </c>
      <c r="K164" s="60">
        <f t="shared" si="30"/>
        <v>16605</v>
      </c>
      <c r="L164" s="192">
        <f t="shared" si="30"/>
        <v>19312.66</v>
      </c>
      <c r="M164" s="192">
        <f t="shared" si="30"/>
        <v>17232.5</v>
      </c>
      <c r="N164" s="94">
        <f t="shared" si="30"/>
        <v>19393.890000000003</v>
      </c>
      <c r="O164" s="94">
        <f>SUM(O165:O167)</f>
        <v>0</v>
      </c>
      <c r="P164" s="94">
        <v>0</v>
      </c>
      <c r="Q164" s="529">
        <v>0</v>
      </c>
      <c r="R164" s="575">
        <f t="shared" si="24"/>
        <v>0</v>
      </c>
    </row>
    <row r="165" spans="1:18" ht="13.5" hidden="1" thickBot="1">
      <c r="A165" s="735"/>
      <c r="B165" s="302">
        <v>610</v>
      </c>
      <c r="C165" s="63" t="s">
        <v>264</v>
      </c>
      <c r="D165" s="51"/>
      <c r="E165" s="51">
        <v>11817</v>
      </c>
      <c r="F165" s="51">
        <v>16331</v>
      </c>
      <c r="G165" s="51">
        <v>16188</v>
      </c>
      <c r="H165" s="51">
        <v>16639</v>
      </c>
      <c r="I165" s="51">
        <v>14808</v>
      </c>
      <c r="J165" s="51">
        <v>14984</v>
      </c>
      <c r="K165" s="51">
        <v>11095</v>
      </c>
      <c r="L165" s="105">
        <v>11946.75</v>
      </c>
      <c r="M165" s="105">
        <v>12156.96</v>
      </c>
      <c r="N165" s="21">
        <v>13480.65</v>
      </c>
      <c r="O165" s="21"/>
      <c r="P165" s="21">
        <v>0</v>
      </c>
      <c r="Q165" s="530"/>
      <c r="R165" s="483">
        <f t="shared" si="24"/>
        <v>0</v>
      </c>
    </row>
    <row r="166" spans="1:18" ht="13.5" hidden="1" thickBot="1">
      <c r="A166" s="736"/>
      <c r="B166" s="182">
        <v>620</v>
      </c>
      <c r="C166" s="38" t="s">
        <v>265</v>
      </c>
      <c r="D166" s="39"/>
      <c r="E166" s="39">
        <v>3983</v>
      </c>
      <c r="F166" s="39">
        <v>5610</v>
      </c>
      <c r="G166" s="39">
        <v>5689</v>
      </c>
      <c r="H166" s="39">
        <v>5822</v>
      </c>
      <c r="I166" s="39">
        <v>5320</v>
      </c>
      <c r="J166" s="39">
        <v>5972</v>
      </c>
      <c r="K166" s="39">
        <v>4227</v>
      </c>
      <c r="L166" s="183">
        <v>4902.95</v>
      </c>
      <c r="M166" s="183">
        <v>3941.03</v>
      </c>
      <c r="N166" s="24">
        <v>4701.62</v>
      </c>
      <c r="O166" s="24"/>
      <c r="P166" s="24">
        <v>0</v>
      </c>
      <c r="Q166" s="531"/>
      <c r="R166" s="479">
        <f t="shared" si="24"/>
        <v>0</v>
      </c>
    </row>
    <row r="167" spans="1:18" ht="13.5" hidden="1" thickBot="1">
      <c r="A167" s="736"/>
      <c r="B167" s="182">
        <v>630</v>
      </c>
      <c r="C167" s="38" t="s">
        <v>266</v>
      </c>
      <c r="D167" s="39"/>
      <c r="E167" s="39">
        <v>2556</v>
      </c>
      <c r="F167" s="39">
        <v>3021</v>
      </c>
      <c r="G167" s="39">
        <v>4135</v>
      </c>
      <c r="H167" s="39">
        <v>1706</v>
      </c>
      <c r="I167" s="39">
        <f>1591+259</f>
        <v>1850</v>
      </c>
      <c r="J167" s="39">
        <v>1495</v>
      </c>
      <c r="K167" s="39">
        <v>1200</v>
      </c>
      <c r="L167" s="183">
        <v>931.46</v>
      </c>
      <c r="M167" s="183">
        <v>1055.02</v>
      </c>
      <c r="N167" s="24">
        <v>1132.97</v>
      </c>
      <c r="O167" s="24"/>
      <c r="P167" s="24">
        <v>0</v>
      </c>
      <c r="Q167" s="531"/>
      <c r="R167" s="479">
        <f t="shared" si="24"/>
        <v>0</v>
      </c>
    </row>
    <row r="168" spans="1:18" ht="13.5" hidden="1" thickBot="1">
      <c r="A168" s="737"/>
      <c r="B168" s="303">
        <v>640</v>
      </c>
      <c r="C168" s="41" t="s">
        <v>16</v>
      </c>
      <c r="D168" s="54"/>
      <c r="E168" s="54"/>
      <c r="F168" s="54"/>
      <c r="G168" s="54"/>
      <c r="H168" s="54"/>
      <c r="I168" s="54"/>
      <c r="J168" s="54">
        <v>3731</v>
      </c>
      <c r="K168" s="220">
        <v>83</v>
      </c>
      <c r="L168" s="103">
        <v>1531.5</v>
      </c>
      <c r="M168" s="103">
        <v>79.49</v>
      </c>
      <c r="N168" s="62">
        <v>78.65</v>
      </c>
      <c r="O168" s="62"/>
      <c r="P168" s="62"/>
      <c r="Q168" s="498"/>
      <c r="R168" s="481">
        <f t="shared" si="24"/>
        <v>0</v>
      </c>
    </row>
    <row r="169" spans="1:23" ht="15.75" thickBot="1">
      <c r="A169" s="190" t="s">
        <v>17</v>
      </c>
      <c r="B169" s="688" t="s">
        <v>18</v>
      </c>
      <c r="C169" s="681"/>
      <c r="D169" s="60">
        <v>42988</v>
      </c>
      <c r="E169" s="60">
        <v>41924</v>
      </c>
      <c r="F169" s="60">
        <v>49127</v>
      </c>
      <c r="G169" s="60">
        <v>48507</v>
      </c>
      <c r="H169" s="60">
        <v>53865</v>
      </c>
      <c r="I169" s="60">
        <f aca="true" t="shared" si="31" ref="I169:P169">I170+I177+I176</f>
        <v>59113.2</v>
      </c>
      <c r="J169" s="60">
        <f t="shared" si="31"/>
        <v>51352</v>
      </c>
      <c r="K169" s="60">
        <f t="shared" si="31"/>
        <v>57413</v>
      </c>
      <c r="L169" s="192">
        <f t="shared" si="31"/>
        <v>142019.73</v>
      </c>
      <c r="M169" s="192">
        <f t="shared" si="31"/>
        <v>67235.89000000001</v>
      </c>
      <c r="N169" s="94">
        <f t="shared" si="31"/>
        <v>59484.65</v>
      </c>
      <c r="O169" s="94">
        <f t="shared" si="31"/>
        <v>64756.130000000005</v>
      </c>
      <c r="P169" s="94">
        <f t="shared" si="31"/>
        <v>102212</v>
      </c>
      <c r="Q169" s="454">
        <f>Q170+Q177+Q176</f>
        <v>109958.24</v>
      </c>
      <c r="R169" s="566">
        <f t="shared" si="24"/>
        <v>107.57860133839472</v>
      </c>
      <c r="U169" s="539"/>
      <c r="V169" s="1">
        <v>653218.61</v>
      </c>
      <c r="W169" s="539">
        <f>V169-U169</f>
        <v>653218.61</v>
      </c>
    </row>
    <row r="170" spans="1:23" ht="13.5" thickBot="1">
      <c r="A170" s="722"/>
      <c r="B170" s="733" t="s">
        <v>19</v>
      </c>
      <c r="C170" s="734"/>
      <c r="D170" s="58">
        <v>39801</v>
      </c>
      <c r="E170" s="58">
        <v>41194</v>
      </c>
      <c r="F170" s="58">
        <v>47169</v>
      </c>
      <c r="G170" s="58">
        <v>47600</v>
      </c>
      <c r="H170" s="58">
        <v>53724</v>
      </c>
      <c r="I170" s="58">
        <f>SUM(I171:I173)</f>
        <v>56208.2</v>
      </c>
      <c r="J170" s="58">
        <f>SUM(J171:J173)</f>
        <v>47897</v>
      </c>
      <c r="K170" s="58">
        <f>SUM(K171:K174)</f>
        <v>54913</v>
      </c>
      <c r="L170" s="138">
        <f>SUM(L171:L174)</f>
        <v>59991.65</v>
      </c>
      <c r="M170" s="138">
        <f>SUM(M171:M174)</f>
        <v>64735.89000000001</v>
      </c>
      <c r="N170" s="87">
        <f>SUM(N171:N174)</f>
        <v>54463.6</v>
      </c>
      <c r="O170" s="87">
        <f>SUM(O171:O174)</f>
        <v>60460.66</v>
      </c>
      <c r="P170" s="87">
        <f>SUM(P171:P175)</f>
        <v>97212</v>
      </c>
      <c r="Q170" s="124">
        <f>SUM(Q171:Q175)</f>
        <v>105530.11</v>
      </c>
      <c r="R170" s="125">
        <f t="shared" si="24"/>
        <v>108.55666995844135</v>
      </c>
      <c r="W170" s="539"/>
    </row>
    <row r="171" spans="1:18" ht="12.75">
      <c r="A171" s="723"/>
      <c r="B171" s="285">
        <v>610</v>
      </c>
      <c r="C171" s="63" t="s">
        <v>264</v>
      </c>
      <c r="D171" s="51"/>
      <c r="E171" s="51">
        <v>22141</v>
      </c>
      <c r="F171" s="51">
        <v>25294</v>
      </c>
      <c r="G171" s="51">
        <v>27320</v>
      </c>
      <c r="H171" s="51">
        <v>30945</v>
      </c>
      <c r="I171" s="51">
        <v>30403</v>
      </c>
      <c r="J171" s="51">
        <v>28630</v>
      </c>
      <c r="K171" s="51">
        <v>28741</v>
      </c>
      <c r="L171" s="105">
        <v>31950.86</v>
      </c>
      <c r="M171" s="105">
        <v>36896.54</v>
      </c>
      <c r="N171" s="21">
        <v>32643.72</v>
      </c>
      <c r="O171" s="21">
        <v>34750.01</v>
      </c>
      <c r="P171" s="21">
        <v>37615</v>
      </c>
      <c r="Q171" s="530">
        <v>39563.77</v>
      </c>
      <c r="R171" s="483">
        <f t="shared" si="24"/>
        <v>105.18083211484779</v>
      </c>
    </row>
    <row r="172" spans="1:18" ht="12.75">
      <c r="A172" s="723"/>
      <c r="B172" s="208">
        <v>620</v>
      </c>
      <c r="C172" s="38" t="s">
        <v>265</v>
      </c>
      <c r="D172" s="39"/>
      <c r="E172" s="39">
        <v>8265</v>
      </c>
      <c r="F172" s="39">
        <v>9427</v>
      </c>
      <c r="G172" s="39">
        <v>10234</v>
      </c>
      <c r="H172" s="39">
        <v>11482</v>
      </c>
      <c r="I172" s="39">
        <f>11947-(14.4+22.4+180)</f>
        <v>11730.2</v>
      </c>
      <c r="J172" s="39">
        <v>10691</v>
      </c>
      <c r="K172" s="39">
        <v>10646</v>
      </c>
      <c r="L172" s="183">
        <v>12860.64</v>
      </c>
      <c r="M172" s="183">
        <v>12687.37</v>
      </c>
      <c r="N172" s="24">
        <v>12446.38</v>
      </c>
      <c r="O172" s="24">
        <v>13294.12</v>
      </c>
      <c r="P172" s="24">
        <v>14047</v>
      </c>
      <c r="Q172" s="531">
        <v>14895.57</v>
      </c>
      <c r="R172" s="479">
        <f t="shared" si="24"/>
        <v>106.04093400726133</v>
      </c>
    </row>
    <row r="173" spans="1:21" ht="12.75">
      <c r="A173" s="723"/>
      <c r="B173" s="286">
        <v>630</v>
      </c>
      <c r="C173" s="42" t="s">
        <v>266</v>
      </c>
      <c r="D173" s="39"/>
      <c r="E173" s="39">
        <v>10788</v>
      </c>
      <c r="F173" s="39">
        <v>12448</v>
      </c>
      <c r="G173" s="39">
        <v>10046</v>
      </c>
      <c r="H173" s="39">
        <v>11297</v>
      </c>
      <c r="I173" s="39">
        <f>16682-(2550+28+110)+81</f>
        <v>14075</v>
      </c>
      <c r="J173" s="39">
        <f>11880-3455+151</f>
        <v>8576</v>
      </c>
      <c r="K173" s="39">
        <v>15451</v>
      </c>
      <c r="L173" s="101">
        <v>15180.15</v>
      </c>
      <c r="M173" s="101">
        <v>15023.18</v>
      </c>
      <c r="N173" s="24">
        <v>9257.17</v>
      </c>
      <c r="O173" s="24">
        <v>12173.76</v>
      </c>
      <c r="P173" s="24">
        <v>13550</v>
      </c>
      <c r="Q173" s="531">
        <f>13942.91-27</f>
        <v>13915.91</v>
      </c>
      <c r="R173" s="479">
        <f t="shared" si="24"/>
        <v>102.70044280442805</v>
      </c>
      <c r="U173" s="539"/>
    </row>
    <row r="174" spans="1:18" ht="12.75">
      <c r="A174" s="723"/>
      <c r="B174" s="182">
        <v>640</v>
      </c>
      <c r="C174" s="204" t="s">
        <v>267</v>
      </c>
      <c r="D174" s="184"/>
      <c r="E174" s="184"/>
      <c r="F174" s="184"/>
      <c r="G174" s="184"/>
      <c r="H174" s="184"/>
      <c r="I174" s="39"/>
      <c r="J174" s="39"/>
      <c r="K174" s="39">
        <v>75</v>
      </c>
      <c r="L174" s="24"/>
      <c r="M174" s="183">
        <v>128.8</v>
      </c>
      <c r="N174" s="24">
        <v>116.33</v>
      </c>
      <c r="O174" s="24">
        <v>242.77</v>
      </c>
      <c r="P174" s="24"/>
      <c r="Q174" s="531">
        <v>133.86</v>
      </c>
      <c r="R174" s="479">
        <f t="shared" si="24"/>
        <v>0</v>
      </c>
    </row>
    <row r="175" spans="1:18" ht="13.5" thickBot="1">
      <c r="A175" s="723"/>
      <c r="B175" s="303">
        <v>630</v>
      </c>
      <c r="C175" s="276" t="s">
        <v>412</v>
      </c>
      <c r="D175" s="278"/>
      <c r="E175" s="278"/>
      <c r="F175" s="278"/>
      <c r="G175" s="278"/>
      <c r="H175" s="278"/>
      <c r="I175" s="54"/>
      <c r="J175" s="54"/>
      <c r="K175" s="54"/>
      <c r="L175" s="43"/>
      <c r="M175" s="230"/>
      <c r="N175" s="43"/>
      <c r="O175" s="43"/>
      <c r="P175" s="43">
        <v>32000</v>
      </c>
      <c r="Q175" s="516">
        <v>37021</v>
      </c>
      <c r="R175" s="487">
        <f t="shared" si="24"/>
        <v>115.690625</v>
      </c>
    </row>
    <row r="176" spans="1:18" ht="13.5" hidden="1" thickBot="1">
      <c r="A176" s="723"/>
      <c r="B176" s="288">
        <v>630</v>
      </c>
      <c r="C176" s="238" t="s">
        <v>183</v>
      </c>
      <c r="D176" s="274"/>
      <c r="E176" s="274"/>
      <c r="F176" s="274"/>
      <c r="G176" s="274"/>
      <c r="H176" s="274"/>
      <c r="I176" s="304"/>
      <c r="J176" s="304"/>
      <c r="K176" s="54"/>
      <c r="L176" s="189">
        <v>82028.08</v>
      </c>
      <c r="M176" s="68"/>
      <c r="N176" s="68"/>
      <c r="O176" s="68"/>
      <c r="P176" s="68"/>
      <c r="Q176" s="529">
        <v>0</v>
      </c>
      <c r="R176" s="485">
        <f t="shared" si="24"/>
        <v>0</v>
      </c>
    </row>
    <row r="177" spans="1:18" ht="13.5" thickBot="1">
      <c r="A177" s="723"/>
      <c r="B177" s="731" t="s">
        <v>20</v>
      </c>
      <c r="C177" s="732"/>
      <c r="D177" s="305">
        <v>3187</v>
      </c>
      <c r="E177" s="305">
        <v>730</v>
      </c>
      <c r="F177" s="305">
        <v>1958</v>
      </c>
      <c r="G177" s="305">
        <v>907</v>
      </c>
      <c r="H177" s="305">
        <v>141</v>
      </c>
      <c r="I177" s="304">
        <f aca="true" t="shared" si="32" ref="I177:Q177">I178</f>
        <v>2905</v>
      </c>
      <c r="J177" s="304">
        <f t="shared" si="32"/>
        <v>3455</v>
      </c>
      <c r="K177" s="304">
        <f t="shared" si="32"/>
        <v>2500</v>
      </c>
      <c r="L177" s="304">
        <v>0</v>
      </c>
      <c r="M177" s="457">
        <f t="shared" si="32"/>
        <v>2500</v>
      </c>
      <c r="N177" s="304">
        <f t="shared" si="32"/>
        <v>5021.05</v>
      </c>
      <c r="O177" s="304">
        <f t="shared" si="32"/>
        <v>4295.47</v>
      </c>
      <c r="P177" s="304">
        <f t="shared" si="32"/>
        <v>5000</v>
      </c>
      <c r="Q177" s="457">
        <f t="shared" si="32"/>
        <v>4428.13</v>
      </c>
      <c r="R177" s="576">
        <f t="shared" si="24"/>
        <v>88.5626</v>
      </c>
    </row>
    <row r="178" spans="1:18" ht="13.5" thickBot="1">
      <c r="A178" s="724"/>
      <c r="B178" s="306">
        <v>630</v>
      </c>
      <c r="C178" s="41" t="s">
        <v>266</v>
      </c>
      <c r="D178" s="54">
        <v>3187</v>
      </c>
      <c r="E178" s="54">
        <v>730</v>
      </c>
      <c r="F178" s="54">
        <v>1958</v>
      </c>
      <c r="G178" s="54">
        <v>907</v>
      </c>
      <c r="H178" s="54">
        <v>141</v>
      </c>
      <c r="I178" s="41">
        <v>2905</v>
      </c>
      <c r="J178" s="41">
        <v>3455</v>
      </c>
      <c r="K178" s="54">
        <v>2500</v>
      </c>
      <c r="L178" s="43">
        <v>0</v>
      </c>
      <c r="M178" s="230">
        <v>2500</v>
      </c>
      <c r="N178" s="43">
        <v>5021.05</v>
      </c>
      <c r="O178" s="43">
        <v>4295.47</v>
      </c>
      <c r="P178" s="43">
        <v>5000</v>
      </c>
      <c r="Q178" s="529">
        <v>4428.13</v>
      </c>
      <c r="R178" s="485">
        <f t="shared" si="24"/>
        <v>88.5626</v>
      </c>
    </row>
    <row r="179" spans="1:18" ht="15.75" thickBot="1">
      <c r="A179" s="307" t="s">
        <v>17</v>
      </c>
      <c r="B179" s="721" t="s">
        <v>21</v>
      </c>
      <c r="C179" s="706"/>
      <c r="D179" s="69">
        <v>90752</v>
      </c>
      <c r="E179" s="69">
        <v>96030</v>
      </c>
      <c r="F179" s="69">
        <v>117540</v>
      </c>
      <c r="G179" s="69">
        <v>141455</v>
      </c>
      <c r="H179" s="69">
        <f aca="true" t="shared" si="33" ref="H179:Q179">SUM(H180:H184)</f>
        <v>157876</v>
      </c>
      <c r="I179" s="69">
        <f t="shared" si="33"/>
        <v>153798</v>
      </c>
      <c r="J179" s="69">
        <f t="shared" si="33"/>
        <v>141580</v>
      </c>
      <c r="K179" s="69">
        <f t="shared" si="33"/>
        <v>144793</v>
      </c>
      <c r="L179" s="70">
        <f t="shared" si="33"/>
        <v>138341.56</v>
      </c>
      <c r="M179" s="70">
        <f t="shared" si="33"/>
        <v>147764.81</v>
      </c>
      <c r="N179" s="368">
        <f t="shared" si="33"/>
        <v>187629.79</v>
      </c>
      <c r="O179" s="368">
        <f t="shared" si="33"/>
        <v>231026.1</v>
      </c>
      <c r="P179" s="368">
        <f t="shared" si="33"/>
        <v>240502</v>
      </c>
      <c r="Q179" s="546">
        <f t="shared" si="33"/>
        <v>241971.54</v>
      </c>
      <c r="R179" s="572">
        <f t="shared" si="24"/>
        <v>100.61103026170261</v>
      </c>
    </row>
    <row r="180" spans="1:18" ht="12.75">
      <c r="A180" s="722"/>
      <c r="B180" s="207">
        <v>610</v>
      </c>
      <c r="C180" s="36" t="s">
        <v>264</v>
      </c>
      <c r="D180" s="37"/>
      <c r="E180" s="37">
        <v>65691</v>
      </c>
      <c r="F180" s="37">
        <v>80097</v>
      </c>
      <c r="G180" s="37">
        <v>93395</v>
      </c>
      <c r="H180" s="37">
        <v>102238</v>
      </c>
      <c r="I180" s="36">
        <v>102422</v>
      </c>
      <c r="J180" s="37">
        <v>93404</v>
      </c>
      <c r="K180" s="37">
        <v>93846</v>
      </c>
      <c r="L180" s="181">
        <v>85213.93</v>
      </c>
      <c r="M180" s="134">
        <v>101710.97</v>
      </c>
      <c r="N180" s="84">
        <v>126027.75</v>
      </c>
      <c r="O180" s="84">
        <v>154366.21</v>
      </c>
      <c r="P180" s="84">
        <v>166659</v>
      </c>
      <c r="Q180" s="506">
        <v>162844.91</v>
      </c>
      <c r="R180" s="483">
        <f t="shared" si="24"/>
        <v>97.71144072627341</v>
      </c>
    </row>
    <row r="181" spans="1:18" ht="12.75">
      <c r="A181" s="723"/>
      <c r="B181" s="208">
        <v>620</v>
      </c>
      <c r="C181" s="38" t="s">
        <v>265</v>
      </c>
      <c r="D181" s="39"/>
      <c r="E181" s="39">
        <v>22738</v>
      </c>
      <c r="F181" s="39">
        <v>27783</v>
      </c>
      <c r="G181" s="39">
        <v>32056</v>
      </c>
      <c r="H181" s="39">
        <v>35361</v>
      </c>
      <c r="I181" s="38">
        <v>35526</v>
      </c>
      <c r="J181" s="39">
        <v>32703</v>
      </c>
      <c r="K181" s="39">
        <v>32877</v>
      </c>
      <c r="L181" s="183">
        <v>32579.829999999994</v>
      </c>
      <c r="M181" s="101">
        <v>29560.18</v>
      </c>
      <c r="N181" s="24">
        <v>41405.87</v>
      </c>
      <c r="O181" s="24">
        <v>53348.97</v>
      </c>
      <c r="P181" s="24">
        <v>58643</v>
      </c>
      <c r="Q181" s="531">
        <v>57717.62</v>
      </c>
      <c r="R181" s="479">
        <f t="shared" si="24"/>
        <v>98.42201115222619</v>
      </c>
    </row>
    <row r="182" spans="1:18" ht="12.75">
      <c r="A182" s="723"/>
      <c r="B182" s="286">
        <v>630</v>
      </c>
      <c r="C182" s="42" t="s">
        <v>266</v>
      </c>
      <c r="D182" s="65"/>
      <c r="E182" s="65">
        <v>7369</v>
      </c>
      <c r="F182" s="65">
        <v>8830</v>
      </c>
      <c r="G182" s="65">
        <v>15669</v>
      </c>
      <c r="H182" s="65">
        <v>19477</v>
      </c>
      <c r="I182" s="42">
        <v>15050</v>
      </c>
      <c r="J182" s="39">
        <v>14133</v>
      </c>
      <c r="K182" s="39">
        <v>17748</v>
      </c>
      <c r="L182" s="201">
        <v>20156.86</v>
      </c>
      <c r="M182" s="201">
        <v>15870.11</v>
      </c>
      <c r="N182" s="27">
        <v>19809.26</v>
      </c>
      <c r="O182" s="27">
        <v>22572.22</v>
      </c>
      <c r="P182" s="27">
        <v>15200</v>
      </c>
      <c r="Q182" s="531">
        <v>20719.09</v>
      </c>
      <c r="R182" s="479">
        <f t="shared" si="24"/>
        <v>136.30980263157895</v>
      </c>
    </row>
    <row r="183" spans="1:18" ht="13.5" thickBot="1">
      <c r="A183" s="723"/>
      <c r="B183" s="228">
        <v>640</v>
      </c>
      <c r="C183" s="41" t="s">
        <v>267</v>
      </c>
      <c r="D183" s="54"/>
      <c r="E183" s="54"/>
      <c r="F183" s="54"/>
      <c r="G183" s="54"/>
      <c r="H183" s="54"/>
      <c r="I183" s="41"/>
      <c r="J183" s="54">
        <v>1340</v>
      </c>
      <c r="K183" s="54">
        <v>322</v>
      </c>
      <c r="L183" s="230">
        <v>390.94</v>
      </c>
      <c r="M183" s="230">
        <v>623.55</v>
      </c>
      <c r="N183" s="43">
        <v>386.91</v>
      </c>
      <c r="O183" s="43">
        <v>738.7</v>
      </c>
      <c r="P183" s="43"/>
      <c r="Q183" s="516">
        <v>689.92</v>
      </c>
      <c r="R183" s="481">
        <f t="shared" si="24"/>
        <v>0</v>
      </c>
    </row>
    <row r="184" spans="1:18" ht="13.5" hidden="1" thickBot="1">
      <c r="A184" s="724"/>
      <c r="B184" s="210">
        <v>630</v>
      </c>
      <c r="C184" s="102" t="s">
        <v>22</v>
      </c>
      <c r="D184" s="188"/>
      <c r="E184" s="188">
        <v>232</v>
      </c>
      <c r="F184" s="188">
        <v>830</v>
      </c>
      <c r="G184" s="188">
        <v>335</v>
      </c>
      <c r="H184" s="188">
        <v>800</v>
      </c>
      <c r="I184" s="102">
        <v>800</v>
      </c>
      <c r="J184" s="102"/>
      <c r="K184" s="188"/>
      <c r="L184" s="68"/>
      <c r="M184" s="68"/>
      <c r="N184" s="68"/>
      <c r="O184" s="68"/>
      <c r="P184" s="68"/>
      <c r="Q184" s="529">
        <v>0</v>
      </c>
      <c r="R184" s="485">
        <f t="shared" si="24"/>
        <v>0</v>
      </c>
    </row>
    <row r="185" spans="1:18" ht="15.75" thickBot="1">
      <c r="A185" s="399" t="s">
        <v>23</v>
      </c>
      <c r="B185" s="721" t="s">
        <v>68</v>
      </c>
      <c r="C185" s="706"/>
      <c r="D185" s="244">
        <v>35152</v>
      </c>
      <c r="E185" s="244">
        <v>34654</v>
      </c>
      <c r="F185" s="244">
        <v>45741</v>
      </c>
      <c r="G185" s="244">
        <v>45381</v>
      </c>
      <c r="H185" s="69">
        <f>SUM(H186:H189)</f>
        <v>47758</v>
      </c>
      <c r="I185" s="69">
        <f>SUM(I186:I189)</f>
        <v>57427</v>
      </c>
      <c r="J185" s="69">
        <f>SUM(J186:J188)</f>
        <v>33860</v>
      </c>
      <c r="K185" s="69">
        <f>SUM(K186:K189)</f>
        <v>33843</v>
      </c>
      <c r="L185" s="70">
        <f>SUM(L186:L189)</f>
        <v>35020.590000000004</v>
      </c>
      <c r="M185" s="70">
        <f>SUM(M186:M189)</f>
        <v>40552.41</v>
      </c>
      <c r="N185" s="368">
        <f>SUM(N186:N189)</f>
        <v>37850.049999999996</v>
      </c>
      <c r="O185" s="368">
        <f>SUM(O186:O189)</f>
        <v>37981.53</v>
      </c>
      <c r="P185" s="368">
        <f>SUM(P186:P188)</f>
        <v>40504</v>
      </c>
      <c r="Q185" s="546">
        <f>SUM(Q186:Q188)</f>
        <v>31489.34</v>
      </c>
      <c r="R185" s="566">
        <f t="shared" si="24"/>
        <v>77.74377839225755</v>
      </c>
    </row>
    <row r="186" spans="1:18" ht="12.75">
      <c r="A186" s="725"/>
      <c r="B186" s="207">
        <v>610</v>
      </c>
      <c r="C186" s="202" t="s">
        <v>264</v>
      </c>
      <c r="D186" s="293"/>
      <c r="E186" s="293">
        <v>21277</v>
      </c>
      <c r="F186" s="293">
        <v>26622</v>
      </c>
      <c r="G186" s="293">
        <v>27938</v>
      </c>
      <c r="H186" s="293">
        <v>29205</v>
      </c>
      <c r="I186" s="37">
        <v>32982</v>
      </c>
      <c r="J186" s="37">
        <v>19537</v>
      </c>
      <c r="K186" s="37">
        <v>19331</v>
      </c>
      <c r="L186" s="181">
        <v>19931.3</v>
      </c>
      <c r="M186" s="181">
        <v>21474.28</v>
      </c>
      <c r="N186" s="84">
        <v>19698.37</v>
      </c>
      <c r="O186" s="84">
        <v>20600.24</v>
      </c>
      <c r="P186" s="84">
        <v>19730</v>
      </c>
      <c r="Q186" s="506">
        <v>19790.26</v>
      </c>
      <c r="R186" s="569">
        <f t="shared" si="24"/>
        <v>100.30542321338064</v>
      </c>
    </row>
    <row r="187" spans="1:18" ht="12.75">
      <c r="A187" s="726"/>
      <c r="B187" s="208">
        <v>620</v>
      </c>
      <c r="C187" s="204" t="s">
        <v>265</v>
      </c>
      <c r="D187" s="184"/>
      <c r="E187" s="184">
        <v>8033</v>
      </c>
      <c r="F187" s="184">
        <v>9792</v>
      </c>
      <c r="G187" s="184">
        <v>10190</v>
      </c>
      <c r="H187" s="184">
        <v>10431</v>
      </c>
      <c r="I187" s="39">
        <v>13206</v>
      </c>
      <c r="J187" s="39">
        <v>7857</v>
      </c>
      <c r="K187" s="39">
        <v>7510</v>
      </c>
      <c r="L187" s="183">
        <v>8330.59</v>
      </c>
      <c r="M187" s="183">
        <v>7982.2</v>
      </c>
      <c r="N187" s="24">
        <v>7602.19</v>
      </c>
      <c r="O187" s="24">
        <v>8776.16</v>
      </c>
      <c r="P187" s="24">
        <v>7239</v>
      </c>
      <c r="Q187" s="531">
        <v>7193.52</v>
      </c>
      <c r="R187" s="479">
        <f t="shared" si="24"/>
        <v>99.37173642768339</v>
      </c>
    </row>
    <row r="188" spans="1:18" ht="12.75">
      <c r="A188" s="726"/>
      <c r="B188" s="208">
        <v>630</v>
      </c>
      <c r="C188" s="204" t="s">
        <v>266</v>
      </c>
      <c r="D188" s="184"/>
      <c r="E188" s="184">
        <v>5344</v>
      </c>
      <c r="F188" s="184">
        <v>9327</v>
      </c>
      <c r="G188" s="184">
        <v>7253</v>
      </c>
      <c r="H188" s="184">
        <v>8122</v>
      </c>
      <c r="I188" s="39">
        <v>7483</v>
      </c>
      <c r="J188" s="39">
        <v>6466</v>
      </c>
      <c r="K188" s="39">
        <v>6899</v>
      </c>
      <c r="L188" s="183">
        <v>6669.76</v>
      </c>
      <c r="M188" s="183">
        <v>10990.38</v>
      </c>
      <c r="N188" s="24">
        <v>10449.24</v>
      </c>
      <c r="O188" s="24">
        <v>5491.570000000001</v>
      </c>
      <c r="P188" s="24">
        <v>13535</v>
      </c>
      <c r="Q188" s="531">
        <v>4505.56</v>
      </c>
      <c r="R188" s="479">
        <f t="shared" si="24"/>
        <v>33.2882157369782</v>
      </c>
    </row>
    <row r="189" spans="1:18" ht="13.5" thickBot="1">
      <c r="A189" s="727"/>
      <c r="B189" s="210">
        <v>640</v>
      </c>
      <c r="C189" s="238" t="s">
        <v>267</v>
      </c>
      <c r="D189" s="274"/>
      <c r="E189" s="274"/>
      <c r="F189" s="274"/>
      <c r="G189" s="274"/>
      <c r="H189" s="274"/>
      <c r="I189" s="188">
        <v>3756</v>
      </c>
      <c r="J189" s="188"/>
      <c r="K189" s="188">
        <v>103</v>
      </c>
      <c r="L189" s="308">
        <v>88.94</v>
      </c>
      <c r="M189" s="279">
        <v>105.55</v>
      </c>
      <c r="N189" s="43">
        <v>100.25</v>
      </c>
      <c r="O189" s="43">
        <v>3113.56</v>
      </c>
      <c r="P189" s="43"/>
      <c r="Q189" s="516"/>
      <c r="R189" s="487">
        <f t="shared" si="24"/>
        <v>0</v>
      </c>
    </row>
    <row r="190" spans="1:22" ht="45.75" customHeight="1" thickBot="1">
      <c r="A190" s="309" t="s">
        <v>24</v>
      </c>
      <c r="B190" s="716" t="s">
        <v>25</v>
      </c>
      <c r="C190" s="717"/>
      <c r="D190" s="310">
        <v>105855</v>
      </c>
      <c r="E190" s="310">
        <v>102071</v>
      </c>
      <c r="F190" s="310">
        <v>77475</v>
      </c>
      <c r="G190" s="310">
        <v>119794</v>
      </c>
      <c r="H190" s="311">
        <v>122484</v>
      </c>
      <c r="I190" s="311">
        <f>I191+I196+I197+I198+I199+I200+I202+I204+I201</f>
        <v>95592</v>
      </c>
      <c r="J190" s="311">
        <f>J191+J196+J197+J198+J199+J200+J202+J204+J201</f>
        <v>235945</v>
      </c>
      <c r="K190" s="311">
        <f>K191+K196+K197+K198+K199+K200+K202+K204+K201</f>
        <v>566990</v>
      </c>
      <c r="L190" s="312">
        <f>L191+L196+L197+L198+L199+L200+L202+L204+L201</f>
        <v>568843.26</v>
      </c>
      <c r="M190" s="312">
        <f>M191+M196+M199+M200+M201+M202-M201</f>
        <v>470939.2299999999</v>
      </c>
      <c r="N190" s="538">
        <f>SUM(N196:N204)+N191</f>
        <v>341351.46</v>
      </c>
      <c r="O190" s="538">
        <f>SUM(O196:O204)+O191</f>
        <v>302230.36999999994</v>
      </c>
      <c r="P190" s="538">
        <f>SUM(P196:P204)+P191</f>
        <v>317880</v>
      </c>
      <c r="Q190" s="636">
        <f>SUM(Q196:Q204)+Q191</f>
        <v>332895.13</v>
      </c>
      <c r="R190" s="577">
        <f>IF(P190=0,0,Q190/P190)*100</f>
        <v>104.72352145463697</v>
      </c>
      <c r="U190" s="539"/>
      <c r="V190" s="539">
        <f>Q190+Q185+Q179+Q169+Q36</f>
        <v>773236.94</v>
      </c>
    </row>
    <row r="191" spans="1:18" ht="26.25" customHeight="1" thickBot="1">
      <c r="A191" s="718"/>
      <c r="B191" s="719" t="s">
        <v>411</v>
      </c>
      <c r="C191" s="720"/>
      <c r="D191" s="313">
        <v>26024</v>
      </c>
      <c r="E191" s="313">
        <v>26422</v>
      </c>
      <c r="F191" s="313">
        <v>12381</v>
      </c>
      <c r="G191" s="313">
        <v>67096</v>
      </c>
      <c r="H191" s="314">
        <f aca="true" t="shared" si="34" ref="H191:Q191">SUM(H192:H194)</f>
        <v>63788</v>
      </c>
      <c r="I191" s="314">
        <f t="shared" si="34"/>
        <v>2494</v>
      </c>
      <c r="J191" s="314">
        <f t="shared" si="34"/>
        <v>41385</v>
      </c>
      <c r="K191" s="314">
        <f>SUM(K192:K195)</f>
        <v>80229</v>
      </c>
      <c r="L191" s="315">
        <f>SUM(L192:L195)</f>
        <v>66952.96999999999</v>
      </c>
      <c r="M191" s="315">
        <f>SUM(M192:M195)</f>
        <v>85074.98</v>
      </c>
      <c r="N191" s="314">
        <f t="shared" si="34"/>
        <v>7365</v>
      </c>
      <c r="O191" s="314">
        <f t="shared" si="34"/>
        <v>28865.35</v>
      </c>
      <c r="P191" s="314">
        <f>SUM(P192:P195)</f>
        <v>113761</v>
      </c>
      <c r="Q191" s="315">
        <f t="shared" si="34"/>
        <v>120501.78</v>
      </c>
      <c r="R191" s="578">
        <f t="shared" si="24"/>
        <v>105.92538743506121</v>
      </c>
    </row>
    <row r="192" spans="1:23" ht="12.75">
      <c r="A192" s="718"/>
      <c r="B192" s="180">
        <v>610</v>
      </c>
      <c r="C192" s="36" t="s">
        <v>264</v>
      </c>
      <c r="D192" s="37"/>
      <c r="E192" s="37">
        <v>16132</v>
      </c>
      <c r="F192" s="37">
        <v>7933</v>
      </c>
      <c r="G192" s="37">
        <v>43567</v>
      </c>
      <c r="H192" s="37">
        <v>42257</v>
      </c>
      <c r="I192" s="316">
        <v>2163</v>
      </c>
      <c r="J192" s="316">
        <v>27310</v>
      </c>
      <c r="K192" s="316">
        <v>54820</v>
      </c>
      <c r="L192" s="317">
        <v>43998.71</v>
      </c>
      <c r="M192" s="317">
        <v>61007.02</v>
      </c>
      <c r="N192" s="444">
        <v>1010.2</v>
      </c>
      <c r="O192" s="444">
        <v>19809.79</v>
      </c>
      <c r="P192" s="444">
        <v>68681</v>
      </c>
      <c r="Q192" s="530">
        <v>74996.97</v>
      </c>
      <c r="R192" s="483">
        <f t="shared" si="24"/>
        <v>109.19609498988076</v>
      </c>
      <c r="U192" s="539"/>
      <c r="W192" s="539"/>
    </row>
    <row r="193" spans="1:23" ht="12.75">
      <c r="A193" s="718"/>
      <c r="B193" s="182">
        <v>620</v>
      </c>
      <c r="C193" s="38" t="s">
        <v>265</v>
      </c>
      <c r="D193" s="39"/>
      <c r="E193" s="39">
        <v>5344</v>
      </c>
      <c r="F193" s="39">
        <v>2622</v>
      </c>
      <c r="G193" s="39">
        <v>14529</v>
      </c>
      <c r="H193" s="39">
        <v>14713</v>
      </c>
      <c r="I193" s="318">
        <v>323</v>
      </c>
      <c r="J193" s="318">
        <v>10254</v>
      </c>
      <c r="K193" s="318">
        <v>19614</v>
      </c>
      <c r="L193" s="319">
        <v>18142.44</v>
      </c>
      <c r="M193" s="319">
        <v>19303.48</v>
      </c>
      <c r="N193" s="320">
        <v>430.73</v>
      </c>
      <c r="O193" s="320">
        <v>6838.92</v>
      </c>
      <c r="P193" s="320">
        <v>24651</v>
      </c>
      <c r="Q193" s="531">
        <v>26581.7</v>
      </c>
      <c r="R193" s="479">
        <f t="shared" si="24"/>
        <v>107.83213662731734</v>
      </c>
      <c r="W193" s="539"/>
    </row>
    <row r="194" spans="1:23" ht="12.75">
      <c r="A194" s="718"/>
      <c r="B194" s="182">
        <v>630</v>
      </c>
      <c r="C194" s="38" t="s">
        <v>266</v>
      </c>
      <c r="D194" s="39"/>
      <c r="E194" s="39">
        <v>4946</v>
      </c>
      <c r="F194" s="39">
        <v>1826</v>
      </c>
      <c r="G194" s="39">
        <v>9000</v>
      </c>
      <c r="H194" s="39">
        <v>6818</v>
      </c>
      <c r="I194" s="39">
        <v>8</v>
      </c>
      <c r="J194" s="39">
        <f>3526+295</f>
        <v>3821</v>
      </c>
      <c r="K194" s="318">
        <v>5011</v>
      </c>
      <c r="L194" s="319">
        <v>4277.15</v>
      </c>
      <c r="M194" s="319">
        <v>4479.7</v>
      </c>
      <c r="N194" s="320">
        <v>5924.07</v>
      </c>
      <c r="O194" s="320">
        <v>2216.64</v>
      </c>
      <c r="P194" s="320">
        <v>18429</v>
      </c>
      <c r="Q194" s="531">
        <v>18923.11</v>
      </c>
      <c r="R194" s="479">
        <f t="shared" si="24"/>
        <v>102.68115470182863</v>
      </c>
      <c r="W194" s="539"/>
    </row>
    <row r="195" spans="1:23" ht="13.5" thickBot="1">
      <c r="A195" s="718"/>
      <c r="B195" s="303"/>
      <c r="C195" s="276" t="s">
        <v>443</v>
      </c>
      <c r="D195" s="278"/>
      <c r="E195" s="278"/>
      <c r="F195" s="278"/>
      <c r="G195" s="278"/>
      <c r="H195" s="278"/>
      <c r="I195" s="278"/>
      <c r="J195" s="278"/>
      <c r="K195" s="321">
        <v>784</v>
      </c>
      <c r="L195" s="322">
        <v>534.67</v>
      </c>
      <c r="M195" s="322">
        <v>284.78</v>
      </c>
      <c r="N195" s="323"/>
      <c r="O195" s="323"/>
      <c r="P195" s="323">
        <v>2000</v>
      </c>
      <c r="Q195" s="516"/>
      <c r="R195" s="487">
        <f t="shared" si="24"/>
        <v>0</v>
      </c>
      <c r="W195" s="539"/>
    </row>
    <row r="196" spans="1:24" ht="12.75">
      <c r="A196" s="718"/>
      <c r="B196" s="324"/>
      <c r="C196" s="296" t="s">
        <v>26</v>
      </c>
      <c r="D196" s="295"/>
      <c r="E196" s="295"/>
      <c r="F196" s="295"/>
      <c r="G196" s="295"/>
      <c r="H196" s="295"/>
      <c r="I196" s="296">
        <v>9265</v>
      </c>
      <c r="J196" s="184">
        <v>11343</v>
      </c>
      <c r="K196" s="39">
        <v>6313</v>
      </c>
      <c r="L196" s="105">
        <v>5404.14</v>
      </c>
      <c r="M196" s="105">
        <v>4327.68</v>
      </c>
      <c r="N196" s="21"/>
      <c r="O196" s="21">
        <v>3575.04</v>
      </c>
      <c r="P196" s="21">
        <v>7000</v>
      </c>
      <c r="Q196" s="530">
        <v>3928.96</v>
      </c>
      <c r="R196" s="483">
        <f t="shared" si="24"/>
        <v>56.128</v>
      </c>
      <c r="U196" s="539">
        <v>21146.199999999997</v>
      </c>
      <c r="V196" s="1">
        <v>6075.6</v>
      </c>
      <c r="X196" s="539">
        <f>Q155+Q156+Q157+Q158+Q159+Q160+U196+V196</f>
        <v>5408122.649999999</v>
      </c>
    </row>
    <row r="197" spans="1:18" ht="12.75">
      <c r="A197" s="718"/>
      <c r="B197" s="325"/>
      <c r="C197" s="204" t="s">
        <v>27</v>
      </c>
      <c r="D197" s="184"/>
      <c r="E197" s="184"/>
      <c r="F197" s="184"/>
      <c r="G197" s="184"/>
      <c r="H197" s="184"/>
      <c r="I197" s="204"/>
      <c r="J197" s="184"/>
      <c r="K197" s="39"/>
      <c r="L197" s="183"/>
      <c r="M197" s="24"/>
      <c r="N197" s="24">
        <v>0</v>
      </c>
      <c r="O197" s="24">
        <v>30265.35</v>
      </c>
      <c r="P197" s="24"/>
      <c r="Q197" s="531"/>
      <c r="R197" s="479">
        <f t="shared" si="24"/>
        <v>0</v>
      </c>
    </row>
    <row r="198" spans="1:18" ht="12.75" customHeight="1">
      <c r="A198" s="718"/>
      <c r="B198" s="325">
        <v>630</v>
      </c>
      <c r="C198" s="204" t="s">
        <v>27</v>
      </c>
      <c r="D198" s="184"/>
      <c r="E198" s="184"/>
      <c r="F198" s="184"/>
      <c r="G198" s="184"/>
      <c r="H198" s="184"/>
      <c r="I198" s="204"/>
      <c r="J198" s="184"/>
      <c r="K198" s="39"/>
      <c r="L198" s="183"/>
      <c r="M198" s="24"/>
      <c r="N198" s="24">
        <v>0</v>
      </c>
      <c r="O198" s="24"/>
      <c r="P198" s="24"/>
      <c r="Q198" s="531"/>
      <c r="R198" s="479">
        <f aca="true" t="shared" si="35" ref="R198:R205">IF(P198=0,0,Q198/P198)*100</f>
        <v>0</v>
      </c>
    </row>
    <row r="199" spans="1:24" ht="12.75" customHeight="1">
      <c r="A199" s="718"/>
      <c r="B199" s="325">
        <v>630</v>
      </c>
      <c r="C199" s="204" t="s">
        <v>28</v>
      </c>
      <c r="D199" s="184"/>
      <c r="E199" s="184"/>
      <c r="F199" s="184"/>
      <c r="G199" s="184"/>
      <c r="H199" s="184"/>
      <c r="I199" s="204">
        <v>66358</v>
      </c>
      <c r="J199" s="184">
        <v>95746</v>
      </c>
      <c r="K199" s="39">
        <f>5530+80179</f>
        <v>85709</v>
      </c>
      <c r="L199" s="183">
        <v>56320.98000000001</v>
      </c>
      <c r="M199" s="183">
        <v>47905.93</v>
      </c>
      <c r="N199" s="24">
        <v>34336.340000000004</v>
      </c>
      <c r="O199" s="24">
        <v>29495.23</v>
      </c>
      <c r="P199" s="24">
        <v>24290</v>
      </c>
      <c r="Q199" s="531">
        <f>3144.3+21146.2</f>
        <v>24290.5</v>
      </c>
      <c r="R199" s="479">
        <f t="shared" si="35"/>
        <v>100.00205846027173</v>
      </c>
      <c r="U199" s="539"/>
      <c r="X199" s="488"/>
    </row>
    <row r="200" spans="1:24" ht="12.75">
      <c r="A200" s="718"/>
      <c r="B200" s="325">
        <v>630</v>
      </c>
      <c r="C200" s="204"/>
      <c r="D200" s="184"/>
      <c r="E200" s="184"/>
      <c r="F200" s="184"/>
      <c r="G200" s="184"/>
      <c r="H200" s="184"/>
      <c r="I200" s="39">
        <v>642</v>
      </c>
      <c r="J200" s="184"/>
      <c r="K200" s="39"/>
      <c r="L200" s="183"/>
      <c r="M200" s="183">
        <v>323039.83999999997</v>
      </c>
      <c r="N200" s="24">
        <v>0</v>
      </c>
      <c r="O200" s="24"/>
      <c r="P200" s="24">
        <v>0</v>
      </c>
      <c r="Q200" s="531"/>
      <c r="R200" s="479">
        <f t="shared" si="35"/>
        <v>0</v>
      </c>
      <c r="U200" s="539"/>
      <c r="V200" s="539">
        <f>SUM(U199:U200)</f>
        <v>0</v>
      </c>
      <c r="X200" s="488"/>
    </row>
    <row r="201" spans="1:22" ht="12.75">
      <c r="A201" s="718"/>
      <c r="B201" s="325"/>
      <c r="C201" s="204" t="s">
        <v>180</v>
      </c>
      <c r="D201" s="184"/>
      <c r="E201" s="184"/>
      <c r="F201" s="184"/>
      <c r="G201" s="184"/>
      <c r="H201" s="184"/>
      <c r="I201" s="204"/>
      <c r="J201" s="184">
        <v>85602</v>
      </c>
      <c r="K201" s="39">
        <f>4915+388479</f>
        <v>393394</v>
      </c>
      <c r="L201" s="183">
        <v>426977.77</v>
      </c>
      <c r="M201" s="183">
        <v>6176.6</v>
      </c>
      <c r="N201" s="24">
        <v>281171.12</v>
      </c>
      <c r="O201" s="24">
        <v>192626.66999999998</v>
      </c>
      <c r="P201" s="24">
        <v>164272</v>
      </c>
      <c r="Q201" s="531">
        <f>35437.45+130580.22+65.44</f>
        <v>166083.11</v>
      </c>
      <c r="R201" s="479">
        <f t="shared" si="35"/>
        <v>101.10250681796045</v>
      </c>
      <c r="V201" s="1">
        <v>6075.6</v>
      </c>
    </row>
    <row r="202" spans="1:18" ht="12.75">
      <c r="A202" s="718"/>
      <c r="B202" s="325">
        <v>630</v>
      </c>
      <c r="C202" s="204" t="s">
        <v>346</v>
      </c>
      <c r="D202" s="184"/>
      <c r="E202" s="184"/>
      <c r="F202" s="184"/>
      <c r="G202" s="184"/>
      <c r="H202" s="184"/>
      <c r="I202" s="204">
        <v>16833</v>
      </c>
      <c r="J202" s="184">
        <v>1809</v>
      </c>
      <c r="K202" s="39">
        <v>1345</v>
      </c>
      <c r="L202" s="183">
        <v>13077.4</v>
      </c>
      <c r="M202" s="183">
        <v>10590.8</v>
      </c>
      <c r="N202" s="24">
        <v>6654.32</v>
      </c>
      <c r="O202" s="24">
        <v>7292.93</v>
      </c>
      <c r="P202" s="24">
        <v>0</v>
      </c>
      <c r="Q202" s="531">
        <f>5154.48+2046.12</f>
        <v>7200.599999999999</v>
      </c>
      <c r="R202" s="479">
        <f t="shared" si="35"/>
        <v>0</v>
      </c>
    </row>
    <row r="203" spans="1:22" ht="12.75">
      <c r="A203" s="718"/>
      <c r="B203" s="458"/>
      <c r="C203" s="204" t="s">
        <v>29</v>
      </c>
      <c r="D203" s="459"/>
      <c r="E203" s="459"/>
      <c r="F203" s="459"/>
      <c r="G203" s="459"/>
      <c r="H203" s="459"/>
      <c r="I203" s="383"/>
      <c r="J203" s="184"/>
      <c r="K203" s="39"/>
      <c r="L203" s="201"/>
      <c r="M203" s="201"/>
      <c r="N203" s="27">
        <v>9556.68</v>
      </c>
      <c r="O203" s="27">
        <v>7519.8</v>
      </c>
      <c r="P203" s="27">
        <v>6557</v>
      </c>
      <c r="Q203" s="498">
        <f>481.4+6075.6</f>
        <v>6557</v>
      </c>
      <c r="R203" s="481">
        <f t="shared" si="35"/>
        <v>100</v>
      </c>
      <c r="V203" s="488"/>
    </row>
    <row r="204" spans="1:18" ht="13.5" thickBot="1">
      <c r="A204" s="718"/>
      <c r="B204" s="326">
        <v>630</v>
      </c>
      <c r="C204" s="327" t="s">
        <v>30</v>
      </c>
      <c r="D204" s="328"/>
      <c r="E204" s="328"/>
      <c r="F204" s="328"/>
      <c r="G204" s="328"/>
      <c r="H204" s="328"/>
      <c r="I204" s="327"/>
      <c r="J204" s="184">
        <v>60</v>
      </c>
      <c r="K204" s="39"/>
      <c r="L204" s="201">
        <v>110</v>
      </c>
      <c r="M204" s="329"/>
      <c r="N204" s="329">
        <v>2268</v>
      </c>
      <c r="O204" s="329">
        <v>2590</v>
      </c>
      <c r="P204" s="329">
        <v>2000</v>
      </c>
      <c r="Q204" s="498">
        <v>4333.18</v>
      </c>
      <c r="R204" s="481">
        <f t="shared" si="35"/>
        <v>216.65900000000002</v>
      </c>
    </row>
    <row r="205" spans="1:18" ht="17.25" thickBot="1" thickTop="1">
      <c r="A205" s="698" t="s">
        <v>421</v>
      </c>
      <c r="B205" s="699"/>
      <c r="C205" s="700"/>
      <c r="D205" s="90">
        <f aca="true" t="shared" si="36" ref="D205:M205">D4+D10+D14+D25+D27+D29+D34+D36+D41+D49+D55+D69+D73+D80+D85+D90+D109+D111+D121+D125+D140+D143+D148+D164+D169+D179+D185+D190+D114+D19+D43+D78</f>
        <v>5867125</v>
      </c>
      <c r="E205" s="90">
        <f t="shared" si="36"/>
        <v>6460200</v>
      </c>
      <c r="F205" s="90">
        <f t="shared" si="36"/>
        <v>7832271</v>
      </c>
      <c r="G205" s="90">
        <f t="shared" si="36"/>
        <v>8716285.43</v>
      </c>
      <c r="H205" s="90">
        <f t="shared" si="36"/>
        <v>9309387</v>
      </c>
      <c r="I205" s="90">
        <f t="shared" si="36"/>
        <v>8743512.2</v>
      </c>
      <c r="J205" s="90">
        <f t="shared" si="36"/>
        <v>8908071</v>
      </c>
      <c r="K205" s="90">
        <f t="shared" si="36"/>
        <v>8934542</v>
      </c>
      <c r="L205" s="330">
        <f t="shared" si="36"/>
        <v>9572545.38</v>
      </c>
      <c r="M205" s="330">
        <f t="shared" si="36"/>
        <v>9554914.799999999</v>
      </c>
      <c r="N205" s="429">
        <f>N4+N10+N14+N25+N27+N29+N34+N36+N41+N49+N55+N69+N73+N80+N85+N90+N109+N111+N121+N125+N140+N143+N148+N164+N169+N179+N185+N190+N114+N19+N43+N78</f>
        <v>9695081.340000002</v>
      </c>
      <c r="O205" s="540">
        <f>O4+O10+O14+O25+O27+O29+O34+O36+O41+O49+O55+O69+O73+O80+O85+O90+O109+O111+O121+O125+O140+O143+O148+O164+O169+O179+O185+O190+O114+O19+O43+O78</f>
        <v>10029044.959999999</v>
      </c>
      <c r="P205" s="429">
        <f>P4+P10+P14+P25+P27+P29+P34+P36+P41+P49+P55+P69+P73+P80+P85+P90+P109+P111+P121+P125+P140+P143+P148+P164+P169+P179+P185+P190+P114+P19+P43+P78</f>
        <v>11034612</v>
      </c>
      <c r="Q205" s="540">
        <f>Q4+Q10+Q14+Q25+Q27+Q29+Q34+Q36+Q41+Q49+Q55+Q69+Q73+Q80+Q85+Q90+Q109+Q111+Q121+Q125+Q140+Q143+Q148+Q164+Q169+Q179+Q185+Q190+Q114+Q19+Q43+Q78</f>
        <v>10815176.069999998</v>
      </c>
      <c r="R205" s="579">
        <f t="shared" si="35"/>
        <v>98.01138517602611</v>
      </c>
    </row>
    <row r="206" ht="13.5" thickTop="1">
      <c r="Q206" s="539"/>
    </row>
    <row r="207" spans="17:21" ht="12.75">
      <c r="Q207" s="539"/>
      <c r="U207" s="488"/>
    </row>
    <row r="208" ht="12.75">
      <c r="Q208" s="539">
        <v>5407327.46</v>
      </c>
    </row>
    <row r="209" spans="15:18" ht="12.75">
      <c r="O209" s="539"/>
      <c r="Q209" s="539"/>
      <c r="R209" s="488"/>
    </row>
    <row r="210" spans="17:21" ht="12.75">
      <c r="Q210" s="539">
        <f>Q205-Q155-Q156-Q157-Q158-Q159-Q160-Q199-Q203+U199+U200</f>
        <v>5403427.72</v>
      </c>
      <c r="S210" s="539"/>
      <c r="U210" s="539"/>
    </row>
    <row r="211" spans="17:19" ht="12.75">
      <c r="Q211" s="539"/>
      <c r="S211" s="539"/>
    </row>
    <row r="212" spans="17:19" ht="12.75">
      <c r="Q212" s="539"/>
      <c r="S212" s="539"/>
    </row>
    <row r="213" spans="17:18" ht="12.75">
      <c r="Q213" s="539">
        <f>Q210-Q208</f>
        <v>-3899.7400000002235</v>
      </c>
      <c r="R213" s="488"/>
    </row>
    <row r="214" ht="12.75">
      <c r="Q214" s="539"/>
    </row>
    <row r="215" ht="12.75">
      <c r="Q215" s="539"/>
    </row>
    <row r="216" spans="17:19" ht="12.75">
      <c r="Q216" s="539">
        <f>Q205-Q208</f>
        <v>5407848.6099999985</v>
      </c>
      <c r="S216" s="539">
        <f>Q216-W155</f>
        <v>-69260.5400000019</v>
      </c>
    </row>
    <row r="217" ht="12.75">
      <c r="Q217" s="539"/>
    </row>
    <row r="218" ht="12.75">
      <c r="Q218" s="539"/>
    </row>
    <row r="219" ht="12.75">
      <c r="Q219" s="539"/>
    </row>
    <row r="220" ht="12.75">
      <c r="Q220" s="539"/>
    </row>
    <row r="221" ht="12.75">
      <c r="Q221" s="539"/>
    </row>
    <row r="222" ht="12.75">
      <c r="Q222" s="539"/>
    </row>
    <row r="223" ht="12.75">
      <c r="Q223" s="539"/>
    </row>
    <row r="224" ht="12.75">
      <c r="Q224" s="539"/>
    </row>
    <row r="225" ht="12.75">
      <c r="Q225" s="539"/>
    </row>
    <row r="226" ht="12.75">
      <c r="Q226" s="539"/>
    </row>
    <row r="227" ht="12.75">
      <c r="Q227" s="539"/>
    </row>
    <row r="228" ht="12.75">
      <c r="Q228" s="539"/>
    </row>
    <row r="229" ht="12.75">
      <c r="Q229" s="539"/>
    </row>
    <row r="230" ht="12.75">
      <c r="Q230" s="539"/>
    </row>
    <row r="231" ht="12.75">
      <c r="Q231" s="539"/>
    </row>
    <row r="232" ht="12.75">
      <c r="Q232" s="539"/>
    </row>
    <row r="233" ht="12.75">
      <c r="Q233" s="539"/>
    </row>
    <row r="234" ht="12.75">
      <c r="Q234" s="539"/>
    </row>
    <row r="235" ht="12.75">
      <c r="Q235" s="539"/>
    </row>
    <row r="236" ht="12.75">
      <c r="Q236" s="539"/>
    </row>
    <row r="237" ht="12.75">
      <c r="Q237" s="539"/>
    </row>
    <row r="238" ht="12.75">
      <c r="Q238" s="539"/>
    </row>
    <row r="239" ht="12.75">
      <c r="Q239" s="539"/>
    </row>
    <row r="240" ht="12.75">
      <c r="Q240" s="539"/>
    </row>
    <row r="241" ht="12.75">
      <c r="Q241" s="539"/>
    </row>
  </sheetData>
  <sheetProtection/>
  <mergeCells count="86">
    <mergeCell ref="Q2:Q3"/>
    <mergeCell ref="A15:A18"/>
    <mergeCell ref="B19:C19"/>
    <mergeCell ref="A20:A24"/>
    <mergeCell ref="B25:C25"/>
    <mergeCell ref="A2:A3"/>
    <mergeCell ref="B2:B3"/>
    <mergeCell ref="C2:C3"/>
    <mergeCell ref="A11:A13"/>
    <mergeCell ref="B10:C10"/>
    <mergeCell ref="B69:C69"/>
    <mergeCell ref="B109:C109"/>
    <mergeCell ref="P2:P3"/>
    <mergeCell ref="B4:C4"/>
    <mergeCell ref="I2:I3"/>
    <mergeCell ref="J2:J3"/>
    <mergeCell ref="K2:K3"/>
    <mergeCell ref="L2:L3"/>
    <mergeCell ref="H2:H3"/>
    <mergeCell ref="F2:F3"/>
    <mergeCell ref="A56:A68"/>
    <mergeCell ref="A70:A72"/>
    <mergeCell ref="B36:C36"/>
    <mergeCell ref="B14:C14"/>
    <mergeCell ref="B34:C34"/>
    <mergeCell ref="B114:C114"/>
    <mergeCell ref="B90:C90"/>
    <mergeCell ref="B56:C56"/>
    <mergeCell ref="B111:C111"/>
    <mergeCell ref="B73:C73"/>
    <mergeCell ref="B78:C78"/>
    <mergeCell ref="A91:A108"/>
    <mergeCell ref="A86:A89"/>
    <mergeCell ref="A37:A40"/>
    <mergeCell ref="B41:C41"/>
    <mergeCell ref="B43:C43"/>
    <mergeCell ref="B49:C49"/>
    <mergeCell ref="B80:C80"/>
    <mergeCell ref="A50:A54"/>
    <mergeCell ref="B55:C55"/>
    <mergeCell ref="A144:A147"/>
    <mergeCell ref="B144:B147"/>
    <mergeCell ref="B148:C148"/>
    <mergeCell ref="B140:C140"/>
    <mergeCell ref="B143:C143"/>
    <mergeCell ref="B121:C121"/>
    <mergeCell ref="A122:A124"/>
    <mergeCell ref="B125:C125"/>
    <mergeCell ref="A126:A139"/>
    <mergeCell ref="B155:B163"/>
    <mergeCell ref="B177:C177"/>
    <mergeCell ref="A149:A163"/>
    <mergeCell ref="B149:C149"/>
    <mergeCell ref="B154:C154"/>
    <mergeCell ref="B164:C164"/>
    <mergeCell ref="B170:C170"/>
    <mergeCell ref="A170:A178"/>
    <mergeCell ref="A165:A168"/>
    <mergeCell ref="B169:C169"/>
    <mergeCell ref="B190:C190"/>
    <mergeCell ref="A191:A204"/>
    <mergeCell ref="B191:C191"/>
    <mergeCell ref="B179:C179"/>
    <mergeCell ref="A180:A184"/>
    <mergeCell ref="B185:C185"/>
    <mergeCell ref="A186:A189"/>
    <mergeCell ref="A81:A84"/>
    <mergeCell ref="B85:C85"/>
    <mergeCell ref="R2:R3"/>
    <mergeCell ref="A30:A33"/>
    <mergeCell ref="B27:C27"/>
    <mergeCell ref="B29:C29"/>
    <mergeCell ref="A5:A9"/>
    <mergeCell ref="G2:G3"/>
    <mergeCell ref="E2:E3"/>
    <mergeCell ref="D2:D3"/>
    <mergeCell ref="A1:C1"/>
    <mergeCell ref="A205:C205"/>
    <mergeCell ref="O2:O3"/>
    <mergeCell ref="A44:A48"/>
    <mergeCell ref="A112:A113"/>
    <mergeCell ref="M2:M3"/>
    <mergeCell ref="A141:A142"/>
    <mergeCell ref="N2:N3"/>
    <mergeCell ref="A115:A120"/>
    <mergeCell ref="A74:A77"/>
  </mergeCells>
  <printOptions/>
  <pageMargins left="0.2362204724409449" right="0.31496062992125984" top="0.1968503937007874" bottom="0.1968503937007874" header="0.31496062992125984" footer="0.31496062992125984"/>
  <pageSetup horizontalDpi="600" verticalDpi="600" orientation="portrait" paperSize="9" scale="82" r:id="rId1"/>
  <rowBreaks count="2" manualBreakCount="2">
    <brk id="72" max="18" man="1"/>
    <brk id="168" max="18" man="1"/>
  </rowBreaks>
  <ignoredErrors>
    <ignoredError sqref="B70:M73 B75:B77" numberStoredAsText="1"/>
    <ignoredError sqref="L111:M111 L110 L113" formula="1"/>
    <ignoredError sqref="Q154 P55:P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V59"/>
  <sheetViews>
    <sheetView zoomScalePageLayoutView="0" workbookViewId="0" topLeftCell="A10">
      <selection activeCell="C43" sqref="C43:C44"/>
    </sheetView>
  </sheetViews>
  <sheetFormatPr defaultColWidth="9.140625" defaultRowHeight="12.75"/>
  <cols>
    <col min="2" max="2" width="8.28125" style="0" customWidth="1"/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5" width="14.421875" style="0" customWidth="1"/>
    <col min="16" max="16" width="13.00390625" style="0" customWidth="1"/>
    <col min="17" max="17" width="15.8515625" style="0" customWidth="1"/>
    <col min="18" max="18" width="10.28125" style="0" customWidth="1"/>
    <col min="20" max="20" width="11.7109375" style="0" bestFit="1" customWidth="1"/>
    <col min="21" max="21" width="10.140625" style="0" bestFit="1" customWidth="1"/>
    <col min="22" max="22" width="9.140625" style="0" bestFit="1" customWidth="1"/>
  </cols>
  <sheetData>
    <row r="1" spans="1:3" ht="15">
      <c r="A1" s="512" t="s">
        <v>417</v>
      </c>
      <c r="C1" s="512"/>
    </row>
    <row r="2" spans="1:3" ht="15.75" thickBot="1">
      <c r="A2" s="513" t="s">
        <v>418</v>
      </c>
      <c r="C2" s="513"/>
    </row>
    <row r="3" spans="1:18" ht="14.25" customHeight="1" thickTop="1">
      <c r="A3" s="666" t="s">
        <v>93</v>
      </c>
      <c r="B3" s="686" t="s">
        <v>94</v>
      </c>
      <c r="C3" s="668" t="s">
        <v>95</v>
      </c>
      <c r="D3" s="668" t="s">
        <v>189</v>
      </c>
      <c r="E3" s="668" t="s">
        <v>190</v>
      </c>
      <c r="F3" s="668" t="s">
        <v>191</v>
      </c>
      <c r="G3" s="668" t="s">
        <v>192</v>
      </c>
      <c r="H3" s="668" t="s">
        <v>193</v>
      </c>
      <c r="I3" s="668" t="s">
        <v>101</v>
      </c>
      <c r="J3" s="668" t="s">
        <v>102</v>
      </c>
      <c r="K3" s="668" t="s">
        <v>103</v>
      </c>
      <c r="L3" s="668" t="s">
        <v>104</v>
      </c>
      <c r="M3" s="668" t="s">
        <v>345</v>
      </c>
      <c r="N3" s="668" t="s">
        <v>376</v>
      </c>
      <c r="O3" s="668" t="s">
        <v>451</v>
      </c>
      <c r="P3" s="752" t="s">
        <v>422</v>
      </c>
      <c r="Q3" s="668" t="s">
        <v>519</v>
      </c>
      <c r="R3" s="682" t="s">
        <v>485</v>
      </c>
    </row>
    <row r="4" spans="1:18" ht="27.75" customHeight="1" thickBot="1">
      <c r="A4" s="667"/>
      <c r="B4" s="687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753"/>
      <c r="Q4" s="669"/>
      <c r="R4" s="683"/>
    </row>
    <row r="5" spans="1:18" ht="17.25" thickBot="1" thickTop="1">
      <c r="A5" s="91">
        <v>200</v>
      </c>
      <c r="B5" s="674" t="s">
        <v>124</v>
      </c>
      <c r="C5" s="675"/>
      <c r="D5" s="92">
        <f>D6</f>
        <v>355009</v>
      </c>
      <c r="E5" s="92">
        <f>E6</f>
        <v>311359</v>
      </c>
      <c r="F5" s="92">
        <f>F6</f>
        <v>955255</v>
      </c>
      <c r="G5" s="92">
        <f>G6</f>
        <v>1090339</v>
      </c>
      <c r="H5" s="92">
        <f>H6</f>
        <v>496614</v>
      </c>
      <c r="I5" s="92">
        <f aca="true" t="shared" si="0" ref="I5:Q5">I6</f>
        <v>174771</v>
      </c>
      <c r="J5" s="92">
        <f t="shared" si="0"/>
        <v>74221</v>
      </c>
      <c r="K5" s="92">
        <f t="shared" si="0"/>
        <v>98051</v>
      </c>
      <c r="L5" s="92">
        <f t="shared" si="0"/>
        <v>223532.5</v>
      </c>
      <c r="M5" s="460">
        <f t="shared" si="0"/>
        <v>61991.15</v>
      </c>
      <c r="N5" s="92">
        <f t="shared" si="0"/>
        <v>87107.9</v>
      </c>
      <c r="O5" s="460">
        <f t="shared" si="0"/>
        <v>542510.87</v>
      </c>
      <c r="P5" s="92">
        <f>P6</f>
        <v>43238</v>
      </c>
      <c r="Q5" s="460">
        <f t="shared" si="0"/>
        <v>47974.47</v>
      </c>
      <c r="R5" s="591">
        <f aca="true" t="shared" si="1" ref="R5:R53">IF(P5=0,0,Q5/P5)*100</f>
        <v>110.95441509783062</v>
      </c>
    </row>
    <row r="6" spans="1:18" ht="15.75" thickBot="1">
      <c r="A6" s="93">
        <v>230</v>
      </c>
      <c r="B6" s="680" t="s">
        <v>194</v>
      </c>
      <c r="C6" s="681"/>
      <c r="D6" s="94">
        <f aca="true" t="shared" si="2" ref="D6:K6">D7+D11</f>
        <v>355009</v>
      </c>
      <c r="E6" s="94">
        <f t="shared" si="2"/>
        <v>311359</v>
      </c>
      <c r="F6" s="94">
        <f t="shared" si="2"/>
        <v>955255</v>
      </c>
      <c r="G6" s="94">
        <f t="shared" si="2"/>
        <v>1090339</v>
      </c>
      <c r="H6" s="94">
        <f t="shared" si="2"/>
        <v>496614</v>
      </c>
      <c r="I6" s="94">
        <f t="shared" si="2"/>
        <v>174771</v>
      </c>
      <c r="J6" s="94">
        <f t="shared" si="2"/>
        <v>74221</v>
      </c>
      <c r="K6" s="94">
        <f t="shared" si="2"/>
        <v>98051</v>
      </c>
      <c r="L6" s="94">
        <f aca="true" t="shared" si="3" ref="L6:Q6">L7+L11</f>
        <v>223532.5</v>
      </c>
      <c r="M6" s="454">
        <f t="shared" si="3"/>
        <v>61991.15</v>
      </c>
      <c r="N6" s="94">
        <f t="shared" si="3"/>
        <v>87107.9</v>
      </c>
      <c r="O6" s="454">
        <f t="shared" si="3"/>
        <v>542510.87</v>
      </c>
      <c r="P6" s="60">
        <f t="shared" si="3"/>
        <v>43238</v>
      </c>
      <c r="Q6" s="192">
        <f t="shared" si="3"/>
        <v>47974.47</v>
      </c>
      <c r="R6" s="566">
        <f t="shared" si="1"/>
        <v>110.95441509783062</v>
      </c>
    </row>
    <row r="7" spans="1:18" ht="13.5" thickBot="1">
      <c r="A7" s="660"/>
      <c r="B7" s="95">
        <v>231</v>
      </c>
      <c r="C7" s="56" t="s">
        <v>195</v>
      </c>
      <c r="D7" s="87">
        <f aca="true" t="shared" si="4" ref="D7:P7">SUM(D8:D10)</f>
        <v>351125</v>
      </c>
      <c r="E7" s="87">
        <f t="shared" si="4"/>
        <v>106121</v>
      </c>
      <c r="F7" s="87">
        <f t="shared" si="4"/>
        <v>227246</v>
      </c>
      <c r="G7" s="87">
        <f t="shared" si="4"/>
        <v>45397</v>
      </c>
      <c r="H7" s="87">
        <f t="shared" si="4"/>
        <v>103200</v>
      </c>
      <c r="I7" s="87">
        <f t="shared" si="4"/>
        <v>85320</v>
      </c>
      <c r="J7" s="87">
        <f t="shared" si="4"/>
        <v>21933</v>
      </c>
      <c r="K7" s="87">
        <f t="shared" si="4"/>
        <v>32153</v>
      </c>
      <c r="L7" s="87">
        <f>SUM(L8:L10)</f>
        <v>84811.72</v>
      </c>
      <c r="M7" s="124">
        <f>SUM(M8:M10)</f>
        <v>23898.96</v>
      </c>
      <c r="N7" s="87">
        <f>SUM(N8:N10)</f>
        <v>33003</v>
      </c>
      <c r="O7" s="124">
        <f>SUM(O8:O10)</f>
        <v>255643.36</v>
      </c>
      <c r="P7" s="58">
        <f t="shared" si="4"/>
        <v>7738</v>
      </c>
      <c r="Q7" s="138">
        <f>SUM(Q8:Q10)</f>
        <v>0</v>
      </c>
      <c r="R7" s="125">
        <f t="shared" si="1"/>
        <v>0</v>
      </c>
    </row>
    <row r="8" spans="1:18" ht="12.75">
      <c r="A8" s="661"/>
      <c r="B8" s="663"/>
      <c r="C8" s="96" t="s">
        <v>196</v>
      </c>
      <c r="D8" s="97">
        <v>192923</v>
      </c>
      <c r="E8" s="97">
        <v>101839</v>
      </c>
      <c r="F8" s="97">
        <v>227246</v>
      </c>
      <c r="G8" s="97">
        <v>45397</v>
      </c>
      <c r="H8" s="97">
        <v>103200</v>
      </c>
      <c r="I8" s="78">
        <v>85320</v>
      </c>
      <c r="J8" s="20">
        <v>21933</v>
      </c>
      <c r="K8" s="21">
        <v>23657</v>
      </c>
      <c r="L8" s="21">
        <v>83346.52</v>
      </c>
      <c r="M8" s="105">
        <v>19336.16</v>
      </c>
      <c r="N8" s="21">
        <v>33003</v>
      </c>
      <c r="O8" s="105">
        <v>251642.36</v>
      </c>
      <c r="P8" s="51"/>
      <c r="Q8" s="64"/>
      <c r="R8" s="127">
        <f t="shared" si="1"/>
        <v>0</v>
      </c>
    </row>
    <row r="9" spans="1:18" ht="12.75">
      <c r="A9" s="661"/>
      <c r="B9" s="664"/>
      <c r="C9" s="38" t="s">
        <v>197</v>
      </c>
      <c r="D9" s="98"/>
      <c r="E9" s="98"/>
      <c r="F9" s="98"/>
      <c r="G9" s="98"/>
      <c r="H9" s="98"/>
      <c r="I9" s="99"/>
      <c r="J9" s="100"/>
      <c r="K9" s="62"/>
      <c r="L9" s="101"/>
      <c r="M9" s="105">
        <v>4562.8</v>
      </c>
      <c r="N9" s="21"/>
      <c r="O9" s="105"/>
      <c r="P9" s="51">
        <v>7738</v>
      </c>
      <c r="Q9" s="64"/>
      <c r="R9" s="127">
        <f t="shared" si="1"/>
        <v>0</v>
      </c>
    </row>
    <row r="10" spans="1:18" ht="13.5" thickBot="1">
      <c r="A10" s="661"/>
      <c r="B10" s="665"/>
      <c r="C10" s="102" t="s">
        <v>198</v>
      </c>
      <c r="D10" s="53">
        <v>158202</v>
      </c>
      <c r="E10" s="53">
        <v>4282</v>
      </c>
      <c r="F10" s="53">
        <v>0</v>
      </c>
      <c r="G10" s="53"/>
      <c r="H10" s="53"/>
      <c r="I10" s="53"/>
      <c r="J10" s="53"/>
      <c r="K10" s="43">
        <v>8496</v>
      </c>
      <c r="L10" s="21">
        <v>1465.2</v>
      </c>
      <c r="M10" s="62"/>
      <c r="N10" s="62"/>
      <c r="O10" s="103">
        <v>4001</v>
      </c>
      <c r="P10" s="51"/>
      <c r="Q10" s="64"/>
      <c r="R10" s="127">
        <f t="shared" si="1"/>
        <v>0</v>
      </c>
    </row>
    <row r="11" spans="1:18" ht="13.5" thickBot="1">
      <c r="A11" s="661"/>
      <c r="B11" s="104">
        <v>233</v>
      </c>
      <c r="C11" s="55" t="s">
        <v>199</v>
      </c>
      <c r="D11" s="87">
        <f aca="true" t="shared" si="5" ref="D11:P11">SUM(D12:D16)</f>
        <v>3884</v>
      </c>
      <c r="E11" s="87">
        <f t="shared" si="5"/>
        <v>205238</v>
      </c>
      <c r="F11" s="87">
        <f t="shared" si="5"/>
        <v>728009</v>
      </c>
      <c r="G11" s="87">
        <f t="shared" si="5"/>
        <v>1044942</v>
      </c>
      <c r="H11" s="87">
        <f t="shared" si="5"/>
        <v>393414</v>
      </c>
      <c r="I11" s="87">
        <f t="shared" si="5"/>
        <v>89451</v>
      </c>
      <c r="J11" s="87">
        <f t="shared" si="5"/>
        <v>52288</v>
      </c>
      <c r="K11" s="87">
        <f t="shared" si="5"/>
        <v>65898</v>
      </c>
      <c r="L11" s="87">
        <f t="shared" si="5"/>
        <v>138720.78</v>
      </c>
      <c r="M11" s="124">
        <f t="shared" si="5"/>
        <v>38092.19</v>
      </c>
      <c r="N11" s="87">
        <f t="shared" si="5"/>
        <v>54104.9</v>
      </c>
      <c r="O11" s="124">
        <f>SUM(O12:O16)</f>
        <v>286867.51</v>
      </c>
      <c r="P11" s="58">
        <f t="shared" si="5"/>
        <v>35500</v>
      </c>
      <c r="Q11" s="138">
        <f>SUM(Q12:Q16)</f>
        <v>47974.47</v>
      </c>
      <c r="R11" s="125">
        <f t="shared" si="1"/>
        <v>135.13935211267608</v>
      </c>
    </row>
    <row r="12" spans="1:18" ht="13.5" thickBot="1">
      <c r="A12" s="661"/>
      <c r="B12" s="663"/>
      <c r="C12" s="36" t="s">
        <v>200</v>
      </c>
      <c r="D12" s="50">
        <v>3884</v>
      </c>
      <c r="E12" s="50">
        <v>205238</v>
      </c>
      <c r="F12" s="50">
        <v>728009</v>
      </c>
      <c r="G12" s="50">
        <v>98695</v>
      </c>
      <c r="H12" s="50">
        <v>393414</v>
      </c>
      <c r="I12" s="50">
        <v>89451</v>
      </c>
      <c r="J12" s="21">
        <v>52288</v>
      </c>
      <c r="K12" s="21">
        <v>65898</v>
      </c>
      <c r="L12" s="21">
        <v>138720.78</v>
      </c>
      <c r="M12" s="461">
        <v>38092.19</v>
      </c>
      <c r="N12" s="471">
        <v>54104.9</v>
      </c>
      <c r="O12" s="541">
        <v>286867.51</v>
      </c>
      <c r="P12" s="51">
        <v>35500</v>
      </c>
      <c r="Q12" s="64">
        <v>47974.47</v>
      </c>
      <c r="R12" s="127">
        <f t="shared" si="1"/>
        <v>135.13935211267608</v>
      </c>
    </row>
    <row r="13" spans="1:18" ht="13.5" hidden="1" thickBot="1">
      <c r="A13" s="661"/>
      <c r="B13" s="664"/>
      <c r="C13" s="106" t="s">
        <v>201</v>
      </c>
      <c r="D13" s="107"/>
      <c r="E13" s="107"/>
      <c r="F13" s="107"/>
      <c r="G13" s="107"/>
      <c r="H13" s="107"/>
      <c r="I13" s="107"/>
      <c r="J13" s="107"/>
      <c r="K13" s="86"/>
      <c r="L13" s="108"/>
      <c r="M13" s="108"/>
      <c r="N13" s="108"/>
      <c r="O13" s="542"/>
      <c r="P13" s="164"/>
      <c r="Q13" s="623"/>
      <c r="R13" s="592">
        <f t="shared" si="1"/>
        <v>0</v>
      </c>
    </row>
    <row r="14" spans="1:18" ht="13.5" hidden="1" thickBot="1">
      <c r="A14" s="661"/>
      <c r="B14" s="664"/>
      <c r="C14" s="106" t="s">
        <v>202</v>
      </c>
      <c r="D14" s="107"/>
      <c r="E14" s="107"/>
      <c r="F14" s="107"/>
      <c r="G14" s="107"/>
      <c r="H14" s="107"/>
      <c r="I14" s="107"/>
      <c r="J14" s="107"/>
      <c r="K14" s="86"/>
      <c r="L14" s="105"/>
      <c r="M14" s="108"/>
      <c r="N14" s="108"/>
      <c r="O14" s="542"/>
      <c r="P14" s="164"/>
      <c r="Q14" s="623"/>
      <c r="R14" s="592">
        <f t="shared" si="1"/>
        <v>0</v>
      </c>
    </row>
    <row r="15" spans="1:18" ht="13.5" hidden="1" thickBot="1">
      <c r="A15" s="661"/>
      <c r="B15" s="664"/>
      <c r="C15" s="106" t="s">
        <v>203</v>
      </c>
      <c r="D15" s="107"/>
      <c r="E15" s="107"/>
      <c r="F15" s="107"/>
      <c r="G15" s="107"/>
      <c r="H15" s="107"/>
      <c r="I15" s="107"/>
      <c r="J15" s="107"/>
      <c r="K15" s="86"/>
      <c r="L15" s="108"/>
      <c r="M15" s="108"/>
      <c r="N15" s="108"/>
      <c r="O15" s="542"/>
      <c r="P15" s="164"/>
      <c r="Q15" s="623"/>
      <c r="R15" s="592">
        <f t="shared" si="1"/>
        <v>0</v>
      </c>
    </row>
    <row r="16" spans="1:18" ht="13.5" hidden="1" thickBot="1">
      <c r="A16" s="661"/>
      <c r="B16" s="665"/>
      <c r="C16" s="109" t="s">
        <v>204</v>
      </c>
      <c r="D16" s="53"/>
      <c r="E16" s="53"/>
      <c r="F16" s="53"/>
      <c r="G16" s="53">
        <v>946247</v>
      </c>
      <c r="H16" s="53"/>
      <c r="I16" s="53"/>
      <c r="J16" s="53"/>
      <c r="K16" s="43"/>
      <c r="L16" s="62"/>
      <c r="M16" s="62"/>
      <c r="N16" s="62"/>
      <c r="O16" s="103"/>
      <c r="P16" s="51"/>
      <c r="Q16" s="64"/>
      <c r="R16" s="127">
        <f t="shared" si="1"/>
        <v>0</v>
      </c>
    </row>
    <row r="17" spans="1:20" ht="16.5" thickBot="1">
      <c r="A17" s="110">
        <v>300</v>
      </c>
      <c r="B17" s="703" t="s">
        <v>158</v>
      </c>
      <c r="C17" s="758"/>
      <c r="D17" s="111">
        <f>D18+D49</f>
        <v>1758083</v>
      </c>
      <c r="E17" s="111">
        <f>E18+E49</f>
        <v>706599</v>
      </c>
      <c r="F17" s="111">
        <f>F18+F49</f>
        <v>290114</v>
      </c>
      <c r="G17" s="111">
        <f>G18+G49</f>
        <v>3301074</v>
      </c>
      <c r="H17" s="111">
        <v>2959527</v>
      </c>
      <c r="I17" s="111">
        <f aca="true" t="shared" si="6" ref="I17:Q17">I18+I49</f>
        <v>4474942</v>
      </c>
      <c r="J17" s="111">
        <f t="shared" si="6"/>
        <v>4428553.06</v>
      </c>
      <c r="K17" s="111">
        <f t="shared" si="6"/>
        <v>3580446</v>
      </c>
      <c r="L17" s="111">
        <f t="shared" si="6"/>
        <v>994806.09</v>
      </c>
      <c r="M17" s="462">
        <f t="shared" si="6"/>
        <v>690306.37</v>
      </c>
      <c r="N17" s="111">
        <f t="shared" si="6"/>
        <v>844428.28</v>
      </c>
      <c r="O17" s="462">
        <f t="shared" si="6"/>
        <v>1153730.93</v>
      </c>
      <c r="P17" s="430">
        <f t="shared" si="6"/>
        <v>2075273</v>
      </c>
      <c r="Q17" s="624">
        <f t="shared" si="6"/>
        <v>2075273.05</v>
      </c>
      <c r="R17" s="593">
        <f t="shared" si="1"/>
        <v>100.00000240932157</v>
      </c>
      <c r="T17" s="406"/>
    </row>
    <row r="18" spans="1:18" ht="15.75" thickBot="1">
      <c r="A18" s="93">
        <v>320</v>
      </c>
      <c r="B18" s="680" t="s">
        <v>205</v>
      </c>
      <c r="C18" s="681"/>
      <c r="D18" s="112">
        <f>D19</f>
        <v>1758083</v>
      </c>
      <c r="E18" s="112">
        <f>E19</f>
        <v>706599</v>
      </c>
      <c r="F18" s="112">
        <f>F19</f>
        <v>290114</v>
      </c>
      <c r="G18" s="112">
        <f>G19</f>
        <v>3301074</v>
      </c>
      <c r="H18" s="112">
        <v>2959527</v>
      </c>
      <c r="I18" s="112">
        <f aca="true" t="shared" si="7" ref="I18:Q18">I19</f>
        <v>4417142</v>
      </c>
      <c r="J18" s="112">
        <f t="shared" si="7"/>
        <v>4408068.06</v>
      </c>
      <c r="K18" s="112">
        <f t="shared" si="7"/>
        <v>3580446</v>
      </c>
      <c r="L18" s="112">
        <f t="shared" si="7"/>
        <v>994806.09</v>
      </c>
      <c r="M18" s="463">
        <f t="shared" si="7"/>
        <v>690306.37</v>
      </c>
      <c r="N18" s="431">
        <f t="shared" si="7"/>
        <v>844428.28</v>
      </c>
      <c r="O18" s="543">
        <f t="shared" si="7"/>
        <v>1153730.93</v>
      </c>
      <c r="P18" s="431">
        <f t="shared" si="7"/>
        <v>2075273</v>
      </c>
      <c r="Q18" s="543">
        <f t="shared" si="7"/>
        <v>2075273.05</v>
      </c>
      <c r="R18" s="594">
        <f t="shared" si="1"/>
        <v>100.00000240932157</v>
      </c>
    </row>
    <row r="19" spans="1:22" ht="13.5" customHeight="1" thickBot="1">
      <c r="A19" s="755"/>
      <c r="B19" s="104">
        <v>321</v>
      </c>
      <c r="C19" s="55" t="s">
        <v>160</v>
      </c>
      <c r="D19" s="56">
        <v>1758083</v>
      </c>
      <c r="E19" s="56">
        <v>706599</v>
      </c>
      <c r="F19" s="56">
        <v>290114</v>
      </c>
      <c r="G19" s="56">
        <v>3301074</v>
      </c>
      <c r="H19" s="56">
        <v>2959527</v>
      </c>
      <c r="I19" s="113">
        <v>4417142</v>
      </c>
      <c r="J19" s="113">
        <v>4408068.06</v>
      </c>
      <c r="K19" s="113">
        <v>3580446</v>
      </c>
      <c r="L19" s="113">
        <v>994806.09</v>
      </c>
      <c r="M19" s="464">
        <f>SUM(M20:M48)</f>
        <v>690306.37</v>
      </c>
      <c r="N19" s="113">
        <f>SUM(N20:N48)</f>
        <v>844428.28</v>
      </c>
      <c r="O19" s="464">
        <f>SUM(O20:O48)</f>
        <v>1153730.93</v>
      </c>
      <c r="P19" s="33">
        <f>SUM(P20:P48)</f>
        <v>2075273</v>
      </c>
      <c r="Q19" s="300">
        <f>SUM(Q20:Q48)</f>
        <v>2075273.05</v>
      </c>
      <c r="R19" s="574">
        <f t="shared" si="1"/>
        <v>100.00000240932157</v>
      </c>
      <c r="T19" s="2"/>
      <c r="U19" s="2"/>
      <c r="V19" s="2"/>
    </row>
    <row r="20" spans="1:18" ht="12.75" customHeight="1" hidden="1">
      <c r="A20" s="756"/>
      <c r="B20" s="754"/>
      <c r="C20" s="114" t="s">
        <v>206</v>
      </c>
      <c r="D20" s="78"/>
      <c r="E20" s="78"/>
      <c r="F20" s="78"/>
      <c r="G20" s="78"/>
      <c r="H20" s="78"/>
      <c r="I20" s="78"/>
      <c r="J20" s="78"/>
      <c r="K20" s="20"/>
      <c r="L20" s="115"/>
      <c r="M20" s="115">
        <v>66064.15</v>
      </c>
      <c r="N20" s="20"/>
      <c r="O20" s="115"/>
      <c r="P20" s="51"/>
      <c r="Q20" s="64"/>
      <c r="R20" s="127">
        <f t="shared" si="1"/>
        <v>0</v>
      </c>
    </row>
    <row r="21" spans="1:18" ht="12.75" customHeight="1" hidden="1">
      <c r="A21" s="756"/>
      <c r="B21" s="754"/>
      <c r="C21" s="19" t="s">
        <v>184</v>
      </c>
      <c r="D21" s="78"/>
      <c r="E21" s="78"/>
      <c r="F21" s="78"/>
      <c r="G21" s="78"/>
      <c r="H21" s="78"/>
      <c r="I21" s="78"/>
      <c r="J21" s="78"/>
      <c r="K21" s="20"/>
      <c r="L21" s="115"/>
      <c r="M21" s="115">
        <v>58454.17</v>
      </c>
      <c r="N21" s="20"/>
      <c r="O21" s="115"/>
      <c r="P21" s="51"/>
      <c r="Q21" s="64"/>
      <c r="R21" s="127">
        <f t="shared" si="1"/>
        <v>0</v>
      </c>
    </row>
    <row r="22" spans="1:18" ht="12.75" customHeight="1" hidden="1">
      <c r="A22" s="756"/>
      <c r="B22" s="754"/>
      <c r="C22" s="19" t="s">
        <v>207</v>
      </c>
      <c r="D22" s="50"/>
      <c r="E22" s="50"/>
      <c r="F22" s="50"/>
      <c r="G22" s="50"/>
      <c r="H22" s="50"/>
      <c r="I22" s="50"/>
      <c r="J22" s="50"/>
      <c r="K22" s="20"/>
      <c r="L22" s="115"/>
      <c r="M22" s="115"/>
      <c r="N22" s="20"/>
      <c r="O22" s="115"/>
      <c r="P22" s="51"/>
      <c r="Q22" s="64"/>
      <c r="R22" s="127">
        <f t="shared" si="1"/>
        <v>0</v>
      </c>
    </row>
    <row r="23" spans="1:21" ht="15.75" customHeight="1">
      <c r="A23" s="756"/>
      <c r="B23" s="754"/>
      <c r="C23" s="19" t="s">
        <v>208</v>
      </c>
      <c r="D23" s="19"/>
      <c r="E23" s="19"/>
      <c r="F23" s="19"/>
      <c r="G23" s="19"/>
      <c r="H23" s="19">
        <v>341897</v>
      </c>
      <c r="I23" s="79">
        <v>341897</v>
      </c>
      <c r="J23" s="79">
        <v>344900</v>
      </c>
      <c r="K23" s="23">
        <v>341900</v>
      </c>
      <c r="L23" s="21">
        <v>341900</v>
      </c>
      <c r="M23" s="115">
        <v>340000</v>
      </c>
      <c r="N23" s="20">
        <v>340000</v>
      </c>
      <c r="O23" s="115">
        <v>500000</v>
      </c>
      <c r="P23" s="51">
        <v>500000</v>
      </c>
      <c r="Q23" s="64">
        <v>500000</v>
      </c>
      <c r="R23" s="127">
        <f t="shared" si="1"/>
        <v>100</v>
      </c>
      <c r="U23" s="2"/>
    </row>
    <row r="24" spans="1:20" ht="15.75" customHeight="1">
      <c r="A24" s="756"/>
      <c r="B24" s="754"/>
      <c r="C24" s="38" t="s">
        <v>463</v>
      </c>
      <c r="D24" s="52"/>
      <c r="E24" s="52"/>
      <c r="F24" s="52"/>
      <c r="G24" s="52"/>
      <c r="H24" s="52"/>
      <c r="I24" s="52"/>
      <c r="J24" s="52"/>
      <c r="K24" s="23"/>
      <c r="L24" s="21">
        <v>68448.02</v>
      </c>
      <c r="M24" s="115">
        <v>6610.12</v>
      </c>
      <c r="N24" s="20"/>
      <c r="O24" s="115"/>
      <c r="P24" s="51">
        <v>500000</v>
      </c>
      <c r="Q24" s="64">
        <v>500000</v>
      </c>
      <c r="R24" s="127">
        <f t="shared" si="1"/>
        <v>100</v>
      </c>
      <c r="T24" s="2"/>
    </row>
    <row r="25" spans="1:22" ht="15" customHeight="1">
      <c r="A25" s="756"/>
      <c r="B25" s="754"/>
      <c r="C25" s="38" t="s">
        <v>373</v>
      </c>
      <c r="D25" s="52"/>
      <c r="E25" s="52"/>
      <c r="F25" s="52"/>
      <c r="G25" s="52"/>
      <c r="H25" s="52"/>
      <c r="I25" s="52"/>
      <c r="J25" s="52"/>
      <c r="K25" s="23"/>
      <c r="L25" s="115"/>
      <c r="M25" s="115">
        <v>9000</v>
      </c>
      <c r="N25" s="20"/>
      <c r="O25" s="115"/>
      <c r="P25" s="51">
        <v>468942</v>
      </c>
      <c r="Q25" s="64">
        <v>468941.61</v>
      </c>
      <c r="R25" s="127">
        <f t="shared" si="1"/>
        <v>99.99991683406476</v>
      </c>
      <c r="T25" s="2"/>
      <c r="U25" s="2"/>
      <c r="V25" s="2"/>
    </row>
    <row r="26" spans="1:21" ht="15.75" customHeight="1">
      <c r="A26" s="756"/>
      <c r="B26" s="754"/>
      <c r="C26" s="116" t="s">
        <v>467</v>
      </c>
      <c r="D26" s="117"/>
      <c r="E26" s="117"/>
      <c r="F26" s="117"/>
      <c r="G26" s="117"/>
      <c r="H26" s="117"/>
      <c r="I26" s="52"/>
      <c r="J26" s="52"/>
      <c r="K26" s="23"/>
      <c r="L26" s="115"/>
      <c r="M26" s="115">
        <v>8142.7</v>
      </c>
      <c r="N26" s="20"/>
      <c r="O26" s="115"/>
      <c r="P26" s="51">
        <v>8663</v>
      </c>
      <c r="Q26" s="64">
        <v>8663.86</v>
      </c>
      <c r="R26" s="127">
        <f t="shared" si="1"/>
        <v>100.00992727692486</v>
      </c>
      <c r="U26" s="2"/>
    </row>
    <row r="27" spans="1:18" ht="16.5" customHeight="1">
      <c r="A27" s="756"/>
      <c r="B27" s="754"/>
      <c r="C27" s="38" t="s">
        <v>379</v>
      </c>
      <c r="D27" s="52"/>
      <c r="E27" s="52"/>
      <c r="F27" s="52"/>
      <c r="G27" s="52"/>
      <c r="H27" s="52"/>
      <c r="I27" s="52"/>
      <c r="J27" s="52"/>
      <c r="K27" s="23"/>
      <c r="L27" s="118"/>
      <c r="M27" s="23"/>
      <c r="N27" s="23">
        <v>5221.4</v>
      </c>
      <c r="O27" s="101">
        <v>48000</v>
      </c>
      <c r="P27" s="39">
        <v>0</v>
      </c>
      <c r="Q27" s="101"/>
      <c r="R27" s="119">
        <f t="shared" si="1"/>
        <v>0</v>
      </c>
    </row>
    <row r="28" spans="1:18" ht="15" customHeight="1">
      <c r="A28" s="756"/>
      <c r="B28" s="754"/>
      <c r="C28" s="38" t="s">
        <v>481</v>
      </c>
      <c r="D28" s="52"/>
      <c r="E28" s="52"/>
      <c r="F28" s="52"/>
      <c r="G28" s="52"/>
      <c r="H28" s="52"/>
      <c r="I28" s="52"/>
      <c r="J28" s="52"/>
      <c r="K28" s="23"/>
      <c r="L28" s="118"/>
      <c r="M28" s="23"/>
      <c r="N28" s="23"/>
      <c r="O28" s="118"/>
      <c r="P28" s="39">
        <v>16000</v>
      </c>
      <c r="Q28" s="101">
        <v>16000</v>
      </c>
      <c r="R28" s="119">
        <f t="shared" si="1"/>
        <v>100</v>
      </c>
    </row>
    <row r="29" spans="1:18" ht="15" customHeight="1">
      <c r="A29" s="756"/>
      <c r="B29" s="754"/>
      <c r="C29" s="38" t="s">
        <v>178</v>
      </c>
      <c r="D29" s="52"/>
      <c r="E29" s="52"/>
      <c r="F29" s="52"/>
      <c r="G29" s="52"/>
      <c r="H29" s="52"/>
      <c r="I29" s="52"/>
      <c r="J29" s="52"/>
      <c r="K29" s="23"/>
      <c r="L29" s="118"/>
      <c r="M29" s="23"/>
      <c r="N29" s="23"/>
      <c r="O29" s="118"/>
      <c r="P29" s="39">
        <v>284550</v>
      </c>
      <c r="Q29" s="101">
        <v>284550</v>
      </c>
      <c r="R29" s="119">
        <f t="shared" si="1"/>
        <v>100</v>
      </c>
    </row>
    <row r="30" spans="1:18" ht="15" customHeight="1">
      <c r="A30" s="756"/>
      <c r="B30" s="754"/>
      <c r="C30" s="38" t="s">
        <v>482</v>
      </c>
      <c r="D30" s="52"/>
      <c r="E30" s="52"/>
      <c r="F30" s="52"/>
      <c r="G30" s="52"/>
      <c r="H30" s="52"/>
      <c r="I30" s="52"/>
      <c r="J30" s="52"/>
      <c r="K30" s="23"/>
      <c r="L30" s="118"/>
      <c r="M30" s="23"/>
      <c r="N30" s="23"/>
      <c r="O30" s="118"/>
      <c r="P30" s="39">
        <v>10000</v>
      </c>
      <c r="Q30" s="101">
        <v>10000</v>
      </c>
      <c r="R30" s="119">
        <f t="shared" si="1"/>
        <v>100</v>
      </c>
    </row>
    <row r="31" spans="1:18" ht="15" customHeight="1">
      <c r="A31" s="756"/>
      <c r="B31" s="754"/>
      <c r="C31" s="63" t="s">
        <v>362</v>
      </c>
      <c r="D31" s="59"/>
      <c r="E31" s="59"/>
      <c r="F31" s="59"/>
      <c r="G31" s="59"/>
      <c r="H31" s="59"/>
      <c r="I31" s="52"/>
      <c r="J31" s="52"/>
      <c r="K31" s="23"/>
      <c r="L31" s="118"/>
      <c r="M31" s="23"/>
      <c r="N31" s="23"/>
      <c r="O31" s="118"/>
      <c r="P31" s="101">
        <v>16163</v>
      </c>
      <c r="Q31" s="101">
        <v>16162.74</v>
      </c>
      <c r="R31" s="119">
        <f t="shared" si="1"/>
        <v>99.99839138773743</v>
      </c>
    </row>
    <row r="32" spans="1:18" ht="15" customHeight="1">
      <c r="A32" s="756"/>
      <c r="B32" s="754"/>
      <c r="C32" s="63" t="s">
        <v>212</v>
      </c>
      <c r="D32" s="50"/>
      <c r="E32" s="50"/>
      <c r="F32" s="50"/>
      <c r="G32" s="50"/>
      <c r="H32" s="50"/>
      <c r="I32" s="52"/>
      <c r="J32" s="52"/>
      <c r="K32" s="23"/>
      <c r="L32" s="118"/>
      <c r="M32" s="23"/>
      <c r="N32" s="23"/>
      <c r="O32" s="118"/>
      <c r="P32" s="101">
        <v>12000</v>
      </c>
      <c r="Q32" s="101">
        <v>12000</v>
      </c>
      <c r="R32" s="119">
        <f t="shared" si="1"/>
        <v>100</v>
      </c>
    </row>
    <row r="33" spans="1:18" ht="15" customHeight="1" hidden="1">
      <c r="A33" s="756"/>
      <c r="B33" s="754"/>
      <c r="C33" s="63" t="s">
        <v>241</v>
      </c>
      <c r="D33" s="52"/>
      <c r="E33" s="52"/>
      <c r="F33" s="52"/>
      <c r="G33" s="52"/>
      <c r="H33" s="52"/>
      <c r="I33" s="52"/>
      <c r="J33" s="52"/>
      <c r="K33" s="23">
        <v>0</v>
      </c>
      <c r="L33" s="118"/>
      <c r="M33" s="23"/>
      <c r="N33" s="23"/>
      <c r="O33" s="118"/>
      <c r="P33" s="101">
        <v>0</v>
      </c>
      <c r="Q33" s="101"/>
      <c r="R33" s="119">
        <f t="shared" si="1"/>
        <v>0</v>
      </c>
    </row>
    <row r="34" spans="1:18" ht="15" customHeight="1" hidden="1">
      <c r="A34" s="756"/>
      <c r="B34" s="754"/>
      <c r="C34" s="63" t="s">
        <v>242</v>
      </c>
      <c r="D34" s="52"/>
      <c r="E34" s="52"/>
      <c r="F34" s="52"/>
      <c r="G34" s="52"/>
      <c r="H34" s="52"/>
      <c r="I34" s="52"/>
      <c r="J34" s="52"/>
      <c r="K34" s="23">
        <v>0</v>
      </c>
      <c r="L34" s="118"/>
      <c r="M34" s="23"/>
      <c r="N34" s="23"/>
      <c r="O34" s="118"/>
      <c r="P34" s="101">
        <v>0</v>
      </c>
      <c r="Q34" s="101"/>
      <c r="R34" s="119">
        <f t="shared" si="1"/>
        <v>0</v>
      </c>
    </row>
    <row r="35" spans="1:18" ht="15" customHeight="1" hidden="1">
      <c r="A35" s="756"/>
      <c r="B35" s="754"/>
      <c r="C35" s="63" t="s">
        <v>243</v>
      </c>
      <c r="D35" s="52"/>
      <c r="E35" s="52"/>
      <c r="F35" s="52"/>
      <c r="G35" s="52"/>
      <c r="H35" s="52"/>
      <c r="I35" s="52"/>
      <c r="J35" s="52"/>
      <c r="K35" s="23"/>
      <c r="L35" s="118"/>
      <c r="M35" s="23"/>
      <c r="N35" s="23"/>
      <c r="O35" s="118"/>
      <c r="P35" s="101">
        <v>0</v>
      </c>
      <c r="Q35" s="101"/>
      <c r="R35" s="119">
        <f t="shared" si="1"/>
        <v>0</v>
      </c>
    </row>
    <row r="36" spans="1:18" ht="15" customHeight="1" hidden="1">
      <c r="A36" s="756"/>
      <c r="B36" s="754"/>
      <c r="C36" s="38" t="s">
        <v>244</v>
      </c>
      <c r="D36" s="52"/>
      <c r="E36" s="52"/>
      <c r="F36" s="52"/>
      <c r="G36" s="52"/>
      <c r="H36" s="52"/>
      <c r="I36" s="52"/>
      <c r="J36" s="52"/>
      <c r="K36" s="23"/>
      <c r="L36" s="118"/>
      <c r="M36" s="23"/>
      <c r="N36" s="23"/>
      <c r="O36" s="118"/>
      <c r="P36" s="101">
        <v>0</v>
      </c>
      <c r="Q36" s="101"/>
      <c r="R36" s="119">
        <f t="shared" si="1"/>
        <v>0</v>
      </c>
    </row>
    <row r="37" spans="1:18" ht="15" customHeight="1" hidden="1">
      <c r="A37" s="756"/>
      <c r="B37" s="754"/>
      <c r="C37" s="38" t="s">
        <v>245</v>
      </c>
      <c r="D37" s="52"/>
      <c r="E37" s="52"/>
      <c r="F37" s="52"/>
      <c r="G37" s="52"/>
      <c r="H37" s="52"/>
      <c r="I37" s="52"/>
      <c r="J37" s="52"/>
      <c r="K37" s="23"/>
      <c r="L37" s="118"/>
      <c r="M37" s="23"/>
      <c r="N37" s="23"/>
      <c r="O37" s="118"/>
      <c r="P37" s="101">
        <v>0</v>
      </c>
      <c r="Q37" s="101"/>
      <c r="R37" s="119">
        <f t="shared" si="1"/>
        <v>0</v>
      </c>
    </row>
    <row r="38" spans="1:18" ht="15" customHeight="1" hidden="1">
      <c r="A38" s="756"/>
      <c r="B38" s="754"/>
      <c r="C38" s="38" t="s">
        <v>246</v>
      </c>
      <c r="D38" s="52"/>
      <c r="E38" s="52"/>
      <c r="F38" s="52"/>
      <c r="G38" s="52"/>
      <c r="H38" s="52"/>
      <c r="I38" s="52"/>
      <c r="J38" s="52"/>
      <c r="K38" s="23"/>
      <c r="L38" s="118"/>
      <c r="M38" s="23"/>
      <c r="N38" s="23"/>
      <c r="O38" s="118"/>
      <c r="P38" s="101">
        <v>0</v>
      </c>
      <c r="Q38" s="101"/>
      <c r="R38" s="119">
        <f t="shared" si="1"/>
        <v>0</v>
      </c>
    </row>
    <row r="39" spans="1:18" ht="15" customHeight="1" hidden="1">
      <c r="A39" s="756"/>
      <c r="B39" s="754"/>
      <c r="C39" s="38" t="s">
        <v>247</v>
      </c>
      <c r="D39" s="52"/>
      <c r="E39" s="52"/>
      <c r="F39" s="52"/>
      <c r="G39" s="52"/>
      <c r="H39" s="52"/>
      <c r="I39" s="52"/>
      <c r="J39" s="52"/>
      <c r="K39" s="23"/>
      <c r="L39" s="118"/>
      <c r="M39" s="23">
        <v>136054.5</v>
      </c>
      <c r="N39" s="23"/>
      <c r="O39" s="118"/>
      <c r="P39" s="101">
        <v>0</v>
      </c>
      <c r="Q39" s="101"/>
      <c r="R39" s="119">
        <f t="shared" si="1"/>
        <v>0</v>
      </c>
    </row>
    <row r="40" spans="1:18" ht="15" customHeight="1" hidden="1">
      <c r="A40" s="756"/>
      <c r="B40" s="754"/>
      <c r="C40" s="38" t="s">
        <v>344</v>
      </c>
      <c r="D40" s="52"/>
      <c r="E40" s="52"/>
      <c r="F40" s="52"/>
      <c r="G40" s="52"/>
      <c r="H40" s="52"/>
      <c r="I40" s="52"/>
      <c r="J40" s="52"/>
      <c r="K40" s="23"/>
      <c r="L40" s="118"/>
      <c r="M40" s="118">
        <v>65980.73</v>
      </c>
      <c r="N40" s="23"/>
      <c r="O40" s="118"/>
      <c r="P40" s="39">
        <v>0</v>
      </c>
      <c r="Q40" s="101"/>
      <c r="R40" s="119">
        <f t="shared" si="1"/>
        <v>0</v>
      </c>
    </row>
    <row r="41" spans="1:20" ht="15" customHeight="1">
      <c r="A41" s="756"/>
      <c r="B41" s="754"/>
      <c r="C41" s="38" t="s">
        <v>350</v>
      </c>
      <c r="D41" s="52"/>
      <c r="E41" s="52"/>
      <c r="F41" s="52"/>
      <c r="G41" s="52"/>
      <c r="H41" s="52"/>
      <c r="I41" s="52"/>
      <c r="J41" s="52"/>
      <c r="K41" s="23"/>
      <c r="L41" s="118"/>
      <c r="M41" s="23"/>
      <c r="N41" s="23">
        <v>15000</v>
      </c>
      <c r="O41" s="118">
        <v>69000</v>
      </c>
      <c r="P41" s="39">
        <v>0</v>
      </c>
      <c r="Q41" s="101"/>
      <c r="R41" s="119">
        <f t="shared" si="1"/>
        <v>0</v>
      </c>
      <c r="T41" s="2"/>
    </row>
    <row r="42" spans="1:20" ht="15" customHeight="1">
      <c r="A42" s="756"/>
      <c r="B42" s="754"/>
      <c r="C42" s="38" t="s">
        <v>362</v>
      </c>
      <c r="D42" s="52"/>
      <c r="E42" s="52"/>
      <c r="F42" s="52"/>
      <c r="G42" s="52"/>
      <c r="H42" s="52"/>
      <c r="I42" s="52"/>
      <c r="J42" s="52"/>
      <c r="K42" s="23"/>
      <c r="L42" s="118"/>
      <c r="M42" s="23"/>
      <c r="N42" s="23"/>
      <c r="O42" s="118">
        <v>379400</v>
      </c>
      <c r="P42" s="39">
        <v>0</v>
      </c>
      <c r="Q42" s="101"/>
      <c r="R42" s="119">
        <f t="shared" si="1"/>
        <v>0</v>
      </c>
      <c r="T42" s="2"/>
    </row>
    <row r="43" spans="1:20" ht="15" customHeight="1">
      <c r="A43" s="756"/>
      <c r="B43" s="754"/>
      <c r="C43" s="38" t="s">
        <v>444</v>
      </c>
      <c r="D43" s="52"/>
      <c r="E43" s="52"/>
      <c r="F43" s="52"/>
      <c r="G43" s="52"/>
      <c r="H43" s="52"/>
      <c r="I43" s="52"/>
      <c r="J43" s="52"/>
      <c r="K43" s="23"/>
      <c r="L43" s="118"/>
      <c r="M43" s="23"/>
      <c r="N43" s="23">
        <v>484206.88</v>
      </c>
      <c r="O43" s="118"/>
      <c r="P43" s="39">
        <v>2500</v>
      </c>
      <c r="Q43" s="101">
        <v>2500</v>
      </c>
      <c r="R43" s="119">
        <f t="shared" si="1"/>
        <v>100</v>
      </c>
      <c r="T43" s="406">
        <f>Q43+Q44</f>
        <v>4800</v>
      </c>
    </row>
    <row r="44" spans="1:18" ht="15" customHeight="1">
      <c r="A44" s="756"/>
      <c r="B44" s="754"/>
      <c r="C44" s="38" t="s">
        <v>472</v>
      </c>
      <c r="D44" s="52"/>
      <c r="E44" s="52"/>
      <c r="F44" s="52"/>
      <c r="G44" s="52"/>
      <c r="H44" s="52"/>
      <c r="I44" s="52"/>
      <c r="J44" s="52"/>
      <c r="K44" s="23"/>
      <c r="L44" s="118"/>
      <c r="M44" s="23"/>
      <c r="N44" s="23"/>
      <c r="O44" s="118"/>
      <c r="P44" s="39">
        <v>2300</v>
      </c>
      <c r="Q44" s="101">
        <v>2300</v>
      </c>
      <c r="R44" s="119">
        <f t="shared" si="1"/>
        <v>100</v>
      </c>
    </row>
    <row r="45" spans="1:22" ht="15" customHeight="1" thickBot="1">
      <c r="A45" s="756"/>
      <c r="B45" s="754"/>
      <c r="C45" s="38" t="s">
        <v>360</v>
      </c>
      <c r="D45" s="52"/>
      <c r="E45" s="52"/>
      <c r="F45" s="52"/>
      <c r="G45" s="52"/>
      <c r="H45" s="52"/>
      <c r="I45" s="52"/>
      <c r="J45" s="52"/>
      <c r="K45" s="23"/>
      <c r="L45" s="118"/>
      <c r="M45" s="23"/>
      <c r="N45" s="23"/>
      <c r="O45" s="118">
        <v>157330.93</v>
      </c>
      <c r="P45" s="39">
        <v>254155</v>
      </c>
      <c r="Q45" s="101">
        <v>254154.84</v>
      </c>
      <c r="R45" s="119">
        <f t="shared" si="1"/>
        <v>99.99993704629064</v>
      </c>
      <c r="V45" s="2"/>
    </row>
    <row r="46" spans="1:18" ht="15" customHeight="1" hidden="1">
      <c r="A46" s="756"/>
      <c r="B46" s="754"/>
      <c r="C46" s="38" t="s">
        <v>366</v>
      </c>
      <c r="D46" s="52"/>
      <c r="E46" s="52"/>
      <c r="F46" s="52"/>
      <c r="G46" s="52"/>
      <c r="H46" s="52"/>
      <c r="I46" s="52"/>
      <c r="J46" s="52"/>
      <c r="K46" s="23"/>
      <c r="L46" s="118"/>
      <c r="M46" s="23"/>
      <c r="N46" s="23"/>
      <c r="O46" s="118"/>
      <c r="P46" s="39"/>
      <c r="Q46" s="101"/>
      <c r="R46" s="119">
        <f t="shared" si="1"/>
        <v>0</v>
      </c>
    </row>
    <row r="47" spans="1:18" ht="15" customHeight="1" hidden="1">
      <c r="A47" s="756"/>
      <c r="B47" s="754"/>
      <c r="C47" s="38" t="s">
        <v>367</v>
      </c>
      <c r="D47" s="52"/>
      <c r="E47" s="52"/>
      <c r="F47" s="52"/>
      <c r="G47" s="52"/>
      <c r="H47" s="52"/>
      <c r="I47" s="52"/>
      <c r="J47" s="52"/>
      <c r="K47" s="23"/>
      <c r="L47" s="118"/>
      <c r="M47" s="23"/>
      <c r="N47" s="23"/>
      <c r="O47" s="118"/>
      <c r="P47" s="39"/>
      <c r="Q47" s="101"/>
      <c r="R47" s="119">
        <f t="shared" si="1"/>
        <v>0</v>
      </c>
    </row>
    <row r="48" spans="1:18" ht="15.75" customHeight="1" hidden="1" thickBot="1">
      <c r="A48" s="757"/>
      <c r="B48" s="754"/>
      <c r="C48" s="38" t="s">
        <v>212</v>
      </c>
      <c r="D48" s="52"/>
      <c r="E48" s="52"/>
      <c r="F48" s="52"/>
      <c r="G48" s="52"/>
      <c r="H48" s="52"/>
      <c r="I48" s="52"/>
      <c r="J48" s="52"/>
      <c r="K48" s="23"/>
      <c r="L48" s="118"/>
      <c r="M48" s="23"/>
      <c r="N48" s="23"/>
      <c r="O48" s="118"/>
      <c r="P48" s="101"/>
      <c r="Q48" s="101"/>
      <c r="R48" s="119">
        <f t="shared" si="1"/>
        <v>0</v>
      </c>
    </row>
    <row r="49" spans="1:18" ht="15.75" thickBot="1">
      <c r="A49" s="120">
        <v>330</v>
      </c>
      <c r="B49" s="680" t="s">
        <v>186</v>
      </c>
      <c r="C49" s="681"/>
      <c r="D49" s="121">
        <f aca="true" t="shared" si="8" ref="D49:Q50">D50</f>
        <v>0</v>
      </c>
      <c r="E49" s="121">
        <f t="shared" si="8"/>
        <v>0</v>
      </c>
      <c r="F49" s="121">
        <f t="shared" si="8"/>
        <v>0</v>
      </c>
      <c r="G49" s="121">
        <f t="shared" si="8"/>
        <v>0</v>
      </c>
      <c r="H49" s="121">
        <f t="shared" si="8"/>
        <v>0</v>
      </c>
      <c r="I49" s="121">
        <f t="shared" si="8"/>
        <v>57800</v>
      </c>
      <c r="J49" s="122">
        <f t="shared" si="8"/>
        <v>20485</v>
      </c>
      <c r="K49" s="121">
        <f t="shared" si="8"/>
        <v>0</v>
      </c>
      <c r="L49" s="123"/>
      <c r="M49" s="121">
        <f t="shared" si="8"/>
        <v>0</v>
      </c>
      <c r="N49" s="121">
        <f t="shared" si="8"/>
        <v>0</v>
      </c>
      <c r="O49" s="123">
        <f t="shared" si="8"/>
        <v>0</v>
      </c>
      <c r="P49" s="432">
        <f t="shared" si="8"/>
        <v>0</v>
      </c>
      <c r="Q49" s="625">
        <f t="shared" si="8"/>
        <v>0</v>
      </c>
      <c r="R49" s="595">
        <f t="shared" si="1"/>
        <v>0</v>
      </c>
    </row>
    <row r="50" spans="1:18" ht="13.5" thickBot="1">
      <c r="A50" s="689"/>
      <c r="B50" s="104">
        <v>332</v>
      </c>
      <c r="C50" s="55" t="s">
        <v>248</v>
      </c>
      <c r="D50" s="56">
        <f t="shared" si="8"/>
        <v>0</v>
      </c>
      <c r="E50" s="56">
        <f t="shared" si="8"/>
        <v>0</v>
      </c>
      <c r="F50" s="56">
        <f t="shared" si="8"/>
        <v>0</v>
      </c>
      <c r="G50" s="56">
        <f t="shared" si="8"/>
        <v>0</v>
      </c>
      <c r="H50" s="56">
        <f t="shared" si="8"/>
        <v>0</v>
      </c>
      <c r="I50" s="56">
        <f>I51</f>
        <v>57800</v>
      </c>
      <c r="J50" s="87">
        <f>J51</f>
        <v>20485</v>
      </c>
      <c r="K50" s="56">
        <f>K51</f>
        <v>0</v>
      </c>
      <c r="L50" s="124"/>
      <c r="M50" s="56">
        <f>M51</f>
        <v>0</v>
      </c>
      <c r="N50" s="56">
        <f>N51</f>
        <v>0</v>
      </c>
      <c r="O50" s="124">
        <f>O51</f>
        <v>0</v>
      </c>
      <c r="P50" s="87">
        <f>P51</f>
        <v>0</v>
      </c>
      <c r="Q50" s="138"/>
      <c r="R50" s="125">
        <f t="shared" si="1"/>
        <v>0</v>
      </c>
    </row>
    <row r="51" spans="1:18" ht="12.75">
      <c r="A51" s="690"/>
      <c r="B51" s="663"/>
      <c r="C51" s="114" t="s">
        <v>249</v>
      </c>
      <c r="D51" s="76"/>
      <c r="E51" s="76"/>
      <c r="F51" s="76"/>
      <c r="G51" s="76"/>
      <c r="H51" s="76"/>
      <c r="I51" s="76">
        <v>57800</v>
      </c>
      <c r="J51" s="126">
        <v>20485</v>
      </c>
      <c r="K51" s="126"/>
      <c r="L51" s="20"/>
      <c r="M51" s="20"/>
      <c r="N51" s="20"/>
      <c r="O51" s="115"/>
      <c r="P51" s="64"/>
      <c r="Q51" s="64"/>
      <c r="R51" s="127">
        <f t="shared" si="1"/>
        <v>0</v>
      </c>
    </row>
    <row r="52" spans="1:18" ht="13.5" thickBot="1">
      <c r="A52" s="690"/>
      <c r="B52" s="664"/>
      <c r="C52" s="128"/>
      <c r="D52" s="61"/>
      <c r="E52" s="61"/>
      <c r="F52" s="61"/>
      <c r="G52" s="61"/>
      <c r="H52" s="61"/>
      <c r="I52" s="61"/>
      <c r="J52" s="61"/>
      <c r="K52" s="62"/>
      <c r="L52" s="62"/>
      <c r="M52" s="62"/>
      <c r="N52" s="62"/>
      <c r="O52" s="103"/>
      <c r="P52" s="64"/>
      <c r="Q52" s="64"/>
      <c r="R52" s="127">
        <f t="shared" si="1"/>
        <v>0</v>
      </c>
    </row>
    <row r="53" spans="1:18" ht="17.25" thickBot="1" thickTop="1">
      <c r="A53" s="129"/>
      <c r="B53" s="130"/>
      <c r="C53" s="131" t="s">
        <v>250</v>
      </c>
      <c r="D53" s="90">
        <f aca="true" t="shared" si="9" ref="D53:P53">D17+D5</f>
        <v>2113092</v>
      </c>
      <c r="E53" s="90">
        <f t="shared" si="9"/>
        <v>1017958</v>
      </c>
      <c r="F53" s="90">
        <f t="shared" si="9"/>
        <v>1245369</v>
      </c>
      <c r="G53" s="90">
        <f t="shared" si="9"/>
        <v>4391413</v>
      </c>
      <c r="H53" s="90">
        <f t="shared" si="9"/>
        <v>3456141</v>
      </c>
      <c r="I53" s="90">
        <f t="shared" si="9"/>
        <v>4649713</v>
      </c>
      <c r="J53" s="90">
        <f t="shared" si="9"/>
        <v>4502774.06</v>
      </c>
      <c r="K53" s="90">
        <f t="shared" si="9"/>
        <v>3678497</v>
      </c>
      <c r="L53" s="90">
        <f t="shared" si="9"/>
        <v>1218338.5899999999</v>
      </c>
      <c r="M53" s="330">
        <f t="shared" si="9"/>
        <v>752297.52</v>
      </c>
      <c r="N53" s="90">
        <f t="shared" si="9"/>
        <v>931536.18</v>
      </c>
      <c r="O53" s="330">
        <f>O17+O5</f>
        <v>1696241.7999999998</v>
      </c>
      <c r="P53" s="90">
        <f t="shared" si="9"/>
        <v>2118511</v>
      </c>
      <c r="Q53" s="330">
        <f>Q17+Q5</f>
        <v>2123247.52</v>
      </c>
      <c r="R53" s="579">
        <f t="shared" si="1"/>
        <v>100.22357778647361</v>
      </c>
    </row>
    <row r="54" ht="13.5" thickTop="1"/>
    <row r="58" spans="12:16" ht="12.75">
      <c r="L58" s="406"/>
      <c r="M58" s="406"/>
      <c r="N58" s="406"/>
      <c r="O58" s="406"/>
      <c r="P58" s="406"/>
    </row>
    <row r="59" spans="12:16" ht="12.75">
      <c r="L59" s="406"/>
      <c r="M59" s="406"/>
      <c r="N59" s="406"/>
      <c r="O59" s="406"/>
      <c r="P59" s="406"/>
    </row>
  </sheetData>
  <sheetProtection/>
  <mergeCells count="30">
    <mergeCell ref="A3:A4"/>
    <mergeCell ref="B3:B4"/>
    <mergeCell ref="C3:C4"/>
    <mergeCell ref="A19:A48"/>
    <mergeCell ref="B17:C17"/>
    <mergeCell ref="B5:C5"/>
    <mergeCell ref="A7:A16"/>
    <mergeCell ref="B8:B10"/>
    <mergeCell ref="B6:C6"/>
    <mergeCell ref="D3:D4"/>
    <mergeCell ref="K3:K4"/>
    <mergeCell ref="L3:L4"/>
    <mergeCell ref="E3:E4"/>
    <mergeCell ref="F3:F4"/>
    <mergeCell ref="G3:G4"/>
    <mergeCell ref="H3:H4"/>
    <mergeCell ref="J3:J4"/>
    <mergeCell ref="A50:A52"/>
    <mergeCell ref="B51:B52"/>
    <mergeCell ref="B18:C18"/>
    <mergeCell ref="B20:B48"/>
    <mergeCell ref="B49:C49"/>
    <mergeCell ref="B12:B16"/>
    <mergeCell ref="M3:M4"/>
    <mergeCell ref="I3:I4"/>
    <mergeCell ref="N3:N4"/>
    <mergeCell ref="R3:R4"/>
    <mergeCell ref="P3:P4"/>
    <mergeCell ref="O3:O4"/>
    <mergeCell ref="Q3:Q4"/>
  </mergeCells>
  <printOptions/>
  <pageMargins left="0.75" right="0.75" top="1" bottom="1" header="0.4921259845" footer="0.4921259845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X150"/>
  <sheetViews>
    <sheetView tabSelected="1" zoomScalePageLayoutView="0" workbookViewId="0" topLeftCell="A1">
      <selection activeCell="L38" sqref="L38"/>
    </sheetView>
  </sheetViews>
  <sheetFormatPr defaultColWidth="9.140625" defaultRowHeight="12.75"/>
  <cols>
    <col min="1" max="1" width="10.8515625" style="1" customWidth="1"/>
    <col min="2" max="2" width="8.28125" style="1" customWidth="1"/>
    <col min="3" max="3" width="37.00390625" style="1" customWidth="1"/>
    <col min="4" max="5" width="9.140625" style="1" customWidth="1"/>
    <col min="6" max="11" width="12.57421875" style="1" customWidth="1"/>
    <col min="12" max="12" width="14.421875" style="1" customWidth="1"/>
    <col min="13" max="13" width="14.7109375" style="1" customWidth="1"/>
    <col min="14" max="15" width="14.57421875" style="1" customWidth="1"/>
    <col min="16" max="16" width="13.421875" style="1" customWidth="1"/>
    <col min="17" max="17" width="15.28125" style="1" customWidth="1"/>
    <col min="18" max="18" width="9.421875" style="1" customWidth="1"/>
    <col min="19" max="19" width="9.140625" style="1" customWidth="1"/>
    <col min="20" max="20" width="10.140625" style="1" bestFit="1" customWidth="1"/>
    <col min="21" max="16384" width="9.140625" style="1" customWidth="1"/>
  </cols>
  <sheetData>
    <row r="1" spans="1:10" ht="13.5" thickBot="1">
      <c r="A1" s="781" t="s">
        <v>381</v>
      </c>
      <c r="B1" s="781"/>
      <c r="C1" s="781"/>
      <c r="D1" s="781"/>
      <c r="E1" s="781"/>
      <c r="F1" s="781"/>
      <c r="G1" s="781"/>
      <c r="H1" s="781"/>
      <c r="I1" s="781"/>
      <c r="J1" s="781"/>
    </row>
    <row r="2" spans="1:18" ht="13.5" customHeight="1" thickTop="1">
      <c r="A2" s="746" t="s">
        <v>60</v>
      </c>
      <c r="B2" s="779" t="s">
        <v>94</v>
      </c>
      <c r="C2" s="750" t="s">
        <v>61</v>
      </c>
      <c r="D2" s="668" t="s">
        <v>189</v>
      </c>
      <c r="E2" s="668" t="s">
        <v>190</v>
      </c>
      <c r="F2" s="668" t="s">
        <v>191</v>
      </c>
      <c r="G2" s="668" t="s">
        <v>192</v>
      </c>
      <c r="H2" s="668" t="s">
        <v>193</v>
      </c>
      <c r="I2" s="668" t="s">
        <v>101</v>
      </c>
      <c r="J2" s="668" t="s">
        <v>102</v>
      </c>
      <c r="K2" s="668" t="s">
        <v>103</v>
      </c>
      <c r="L2" s="668" t="s">
        <v>104</v>
      </c>
      <c r="M2" s="760" t="s">
        <v>105</v>
      </c>
      <c r="N2" s="760" t="s">
        <v>377</v>
      </c>
      <c r="O2" s="668" t="s">
        <v>451</v>
      </c>
      <c r="P2" s="668" t="s">
        <v>422</v>
      </c>
      <c r="Q2" s="668" t="s">
        <v>519</v>
      </c>
      <c r="R2" s="682" t="s">
        <v>485</v>
      </c>
    </row>
    <row r="3" spans="1:18" ht="30" customHeight="1" thickBot="1">
      <c r="A3" s="747"/>
      <c r="B3" s="780"/>
      <c r="C3" s="751"/>
      <c r="D3" s="669"/>
      <c r="E3" s="669"/>
      <c r="F3" s="669"/>
      <c r="G3" s="669"/>
      <c r="H3" s="669"/>
      <c r="I3" s="669"/>
      <c r="J3" s="669"/>
      <c r="K3" s="669"/>
      <c r="L3" s="669"/>
      <c r="M3" s="761"/>
      <c r="N3" s="761"/>
      <c r="O3" s="669"/>
      <c r="P3" s="669"/>
      <c r="Q3" s="669"/>
      <c r="R3" s="683"/>
    </row>
    <row r="4" spans="1:18" ht="17.25" thickBot="1" thickTop="1">
      <c r="A4" s="242" t="s">
        <v>262</v>
      </c>
      <c r="B4" s="759" t="s">
        <v>31</v>
      </c>
      <c r="C4" s="759"/>
      <c r="D4" s="331">
        <v>372735</v>
      </c>
      <c r="E4" s="331">
        <v>64629</v>
      </c>
      <c r="F4" s="331">
        <v>39833</v>
      </c>
      <c r="G4" s="331">
        <v>3383</v>
      </c>
      <c r="H4" s="331"/>
      <c r="I4" s="332">
        <v>18260</v>
      </c>
      <c r="J4" s="332">
        <v>0</v>
      </c>
      <c r="K4" s="332">
        <v>0</v>
      </c>
      <c r="L4" s="332">
        <v>0</v>
      </c>
      <c r="M4" s="332">
        <v>0</v>
      </c>
      <c r="N4" s="331">
        <f>N5+N9</f>
        <v>6946.8</v>
      </c>
      <c r="O4" s="544">
        <f>O5+O9+O7</f>
        <v>10541.5</v>
      </c>
      <c r="P4" s="331">
        <f>P5+P7+P9+P8+P6</f>
        <v>29954</v>
      </c>
      <c r="Q4" s="544">
        <f>Q5+Q7+Q9+Q8+Q6</f>
        <v>23813.83</v>
      </c>
      <c r="R4" s="591">
        <f aca="true" t="shared" si="0" ref="R4:R67">IF(P4=0,0,Q4/P4)*100</f>
        <v>79.50133538091741</v>
      </c>
    </row>
    <row r="5" spans="1:18" ht="12.75">
      <c r="A5" s="710"/>
      <c r="B5" s="763"/>
      <c r="C5" s="63" t="s">
        <v>221</v>
      </c>
      <c r="D5" s="21"/>
      <c r="E5" s="21"/>
      <c r="F5" s="21"/>
      <c r="G5" s="21"/>
      <c r="H5" s="50"/>
      <c r="I5" s="50"/>
      <c r="J5" s="50"/>
      <c r="K5" s="21"/>
      <c r="L5" s="21"/>
      <c r="M5" s="21"/>
      <c r="N5" s="21">
        <v>4510.8</v>
      </c>
      <c r="O5" s="105">
        <v>4997.5</v>
      </c>
      <c r="P5" s="51"/>
      <c r="Q5" s="64"/>
      <c r="R5" s="127">
        <f t="shared" si="0"/>
        <v>0</v>
      </c>
    </row>
    <row r="6" spans="1:18" ht="12.75">
      <c r="A6" s="713"/>
      <c r="B6" s="764"/>
      <c r="C6" s="63" t="s">
        <v>446</v>
      </c>
      <c r="D6" s="21"/>
      <c r="E6" s="21"/>
      <c r="F6" s="21"/>
      <c r="G6" s="21"/>
      <c r="H6" s="50"/>
      <c r="I6" s="50"/>
      <c r="J6" s="50"/>
      <c r="K6" s="21"/>
      <c r="L6" s="21"/>
      <c r="M6" s="21"/>
      <c r="N6" s="21"/>
      <c r="O6" s="105"/>
      <c r="P6" s="51">
        <v>2500</v>
      </c>
      <c r="Q6" s="64">
        <v>2360</v>
      </c>
      <c r="R6" s="127">
        <f t="shared" si="0"/>
        <v>94.39999999999999</v>
      </c>
    </row>
    <row r="7" spans="1:18" ht="12.75">
      <c r="A7" s="713"/>
      <c r="B7" s="764"/>
      <c r="C7" s="63" t="s">
        <v>380</v>
      </c>
      <c r="D7" s="21"/>
      <c r="E7" s="21"/>
      <c r="F7" s="21"/>
      <c r="G7" s="21"/>
      <c r="H7" s="50"/>
      <c r="I7" s="50"/>
      <c r="J7" s="50"/>
      <c r="K7" s="21"/>
      <c r="L7" s="21"/>
      <c r="M7" s="21"/>
      <c r="N7" s="21"/>
      <c r="O7" s="105">
        <v>5544</v>
      </c>
      <c r="P7" s="51">
        <v>6000</v>
      </c>
      <c r="Q7" s="64">
        <v>11350.56</v>
      </c>
      <c r="R7" s="127">
        <f t="shared" si="0"/>
        <v>189.176</v>
      </c>
    </row>
    <row r="8" spans="1:18" ht="13.5" thickBot="1">
      <c r="A8" s="713"/>
      <c r="B8" s="764"/>
      <c r="C8" s="63" t="s">
        <v>408</v>
      </c>
      <c r="D8" s="21"/>
      <c r="E8" s="21"/>
      <c r="F8" s="21"/>
      <c r="G8" s="21"/>
      <c r="H8" s="50"/>
      <c r="I8" s="50"/>
      <c r="J8" s="50"/>
      <c r="K8" s="21"/>
      <c r="L8" s="21"/>
      <c r="M8" s="21"/>
      <c r="N8" s="21"/>
      <c r="O8" s="105"/>
      <c r="P8" s="51">
        <v>21454</v>
      </c>
      <c r="Q8" s="64">
        <v>10103.27</v>
      </c>
      <c r="R8" s="127">
        <f t="shared" si="0"/>
        <v>47.092709984152144</v>
      </c>
    </row>
    <row r="9" spans="1:18" ht="13.5" hidden="1" thickBot="1">
      <c r="A9" s="711"/>
      <c r="B9" s="765"/>
      <c r="C9" s="63" t="s">
        <v>351</v>
      </c>
      <c r="D9" s="21"/>
      <c r="E9" s="21"/>
      <c r="F9" s="21"/>
      <c r="G9" s="21"/>
      <c r="H9" s="50"/>
      <c r="I9" s="50"/>
      <c r="J9" s="50"/>
      <c r="K9" s="21"/>
      <c r="L9" s="21"/>
      <c r="M9" s="21"/>
      <c r="N9" s="21">
        <v>2436</v>
      </c>
      <c r="O9" s="105"/>
      <c r="P9" s="51"/>
      <c r="Q9" s="64"/>
      <c r="R9" s="127">
        <f t="shared" si="0"/>
        <v>0</v>
      </c>
    </row>
    <row r="10" spans="1:18" ht="15.75" thickBot="1">
      <c r="A10" s="190" t="s">
        <v>82</v>
      </c>
      <c r="B10" s="762" t="s">
        <v>83</v>
      </c>
      <c r="C10" s="762"/>
      <c r="D10" s="212">
        <v>17958</v>
      </c>
      <c r="E10" s="212">
        <v>0</v>
      </c>
      <c r="F10" s="212">
        <v>19916</v>
      </c>
      <c r="G10" s="212">
        <v>18253</v>
      </c>
      <c r="H10" s="212">
        <v>16675</v>
      </c>
      <c r="I10" s="121">
        <v>3031</v>
      </c>
      <c r="J10" s="121">
        <v>0</v>
      </c>
      <c r="K10" s="60">
        <f>SUM(K11:K12)</f>
        <v>10398</v>
      </c>
      <c r="L10" s="60"/>
      <c r="M10" s="60">
        <f>SUM(M11:M12)</f>
        <v>0</v>
      </c>
      <c r="N10" s="60">
        <f>SUM(N11:N12)</f>
        <v>5666.4</v>
      </c>
      <c r="O10" s="192">
        <f>SUM(O11:O12)</f>
        <v>10703.82</v>
      </c>
      <c r="P10" s="60">
        <f>SUM(P11:P12)</f>
        <v>12500</v>
      </c>
      <c r="Q10" s="192">
        <f>SUM(Q11:Q12)</f>
        <v>12513.86</v>
      </c>
      <c r="R10" s="566">
        <f t="shared" si="0"/>
        <v>100.11088000000001</v>
      </c>
    </row>
    <row r="11" spans="1:18" ht="12.75">
      <c r="A11" s="710"/>
      <c r="B11" s="763"/>
      <c r="C11" s="36" t="s">
        <v>32</v>
      </c>
      <c r="D11" s="84"/>
      <c r="E11" s="84"/>
      <c r="F11" s="84"/>
      <c r="G11" s="84"/>
      <c r="H11" s="49"/>
      <c r="I11" s="49"/>
      <c r="J11" s="49"/>
      <c r="K11" s="84">
        <v>10398</v>
      </c>
      <c r="L11" s="84"/>
      <c r="M11" s="84"/>
      <c r="N11" s="84"/>
      <c r="O11" s="181">
        <v>10703.82</v>
      </c>
      <c r="P11" s="37">
        <v>12500</v>
      </c>
      <c r="Q11" s="134">
        <v>12513.86</v>
      </c>
      <c r="R11" s="596">
        <f t="shared" si="0"/>
        <v>100.11088000000001</v>
      </c>
    </row>
    <row r="12" spans="1:18" ht="13.5" thickBot="1">
      <c r="A12" s="711"/>
      <c r="B12" s="765"/>
      <c r="C12" s="128" t="s">
        <v>221</v>
      </c>
      <c r="D12" s="62"/>
      <c r="E12" s="62"/>
      <c r="F12" s="62"/>
      <c r="G12" s="62"/>
      <c r="H12" s="61"/>
      <c r="I12" s="61"/>
      <c r="J12" s="61"/>
      <c r="K12" s="62"/>
      <c r="L12" s="62"/>
      <c r="M12" s="62"/>
      <c r="N12" s="62">
        <v>5666.4</v>
      </c>
      <c r="O12" s="103"/>
      <c r="P12" s="51"/>
      <c r="Q12" s="64"/>
      <c r="R12" s="127">
        <f t="shared" si="0"/>
        <v>0</v>
      </c>
    </row>
    <row r="13" spans="1:22" ht="15.75" thickBot="1">
      <c r="A13" s="190" t="s">
        <v>77</v>
      </c>
      <c r="B13" s="762" t="s">
        <v>78</v>
      </c>
      <c r="C13" s="762"/>
      <c r="D13" s="212">
        <v>894211</v>
      </c>
      <c r="E13" s="212">
        <v>382958</v>
      </c>
      <c r="F13" s="212">
        <v>343590</v>
      </c>
      <c r="G13" s="212">
        <v>610914</v>
      </c>
      <c r="H13" s="212">
        <v>1718795</v>
      </c>
      <c r="I13" s="121">
        <v>495900</v>
      </c>
      <c r="J13" s="212">
        <v>421522</v>
      </c>
      <c r="K13" s="60">
        <f>SUM(K14:K30)</f>
        <v>2058954</v>
      </c>
      <c r="L13" s="60">
        <v>108548.12</v>
      </c>
      <c r="M13" s="192">
        <f>SUM(M14:M30)</f>
        <v>187078.06</v>
      </c>
      <c r="N13" s="60">
        <f>SUM(N14:N30)</f>
        <v>923357.06</v>
      </c>
      <c r="O13" s="192">
        <f>SUM(O14:O30)</f>
        <v>421573.23</v>
      </c>
      <c r="P13" s="60">
        <f>SUM(P14:P30)</f>
        <v>1720145</v>
      </c>
      <c r="Q13" s="192">
        <f>SUM(Q14:Q30)</f>
        <v>904828.37</v>
      </c>
      <c r="R13" s="566">
        <f>IF(P13=0,0,Q13/P13)*100</f>
        <v>52.601866121751364</v>
      </c>
      <c r="U13" s="539"/>
      <c r="V13" s="488"/>
    </row>
    <row r="14" spans="1:24" ht="12.75">
      <c r="A14" s="713"/>
      <c r="B14" s="769"/>
      <c r="C14" s="63" t="s">
        <v>33</v>
      </c>
      <c r="D14" s="21"/>
      <c r="E14" s="21"/>
      <c r="F14" s="21"/>
      <c r="G14" s="21"/>
      <c r="H14" s="50"/>
      <c r="I14" s="50"/>
      <c r="J14" s="21"/>
      <c r="K14" s="21">
        <v>47371</v>
      </c>
      <c r="L14" s="21">
        <v>31209.2</v>
      </c>
      <c r="M14" s="105">
        <v>11397.78</v>
      </c>
      <c r="N14" s="21">
        <v>30293.6</v>
      </c>
      <c r="O14" s="105">
        <v>23797.93</v>
      </c>
      <c r="P14" s="51">
        <v>73484</v>
      </c>
      <c r="Q14" s="64">
        <f>54408.38+1460+540</f>
        <v>56408.38</v>
      </c>
      <c r="R14" s="127">
        <f t="shared" si="0"/>
        <v>76.76280550868216</v>
      </c>
      <c r="T14" s="488"/>
      <c r="X14" s="488"/>
    </row>
    <row r="15" spans="1:18" ht="12.75" hidden="1">
      <c r="A15" s="713"/>
      <c r="B15" s="769"/>
      <c r="C15" s="63" t="s">
        <v>92</v>
      </c>
      <c r="D15" s="21"/>
      <c r="E15" s="21"/>
      <c r="F15" s="21"/>
      <c r="G15" s="21"/>
      <c r="H15" s="50"/>
      <c r="I15" s="50"/>
      <c r="J15" s="21"/>
      <c r="K15" s="21"/>
      <c r="L15" s="21"/>
      <c r="M15" s="105"/>
      <c r="N15" s="21"/>
      <c r="O15" s="105"/>
      <c r="P15" s="51">
        <v>0</v>
      </c>
      <c r="Q15" s="64"/>
      <c r="R15" s="127">
        <f t="shared" si="0"/>
        <v>0</v>
      </c>
    </row>
    <row r="16" spans="1:18" ht="12.75">
      <c r="A16" s="713"/>
      <c r="B16" s="769"/>
      <c r="C16" s="38" t="s">
        <v>464</v>
      </c>
      <c r="D16" s="24"/>
      <c r="E16" s="24"/>
      <c r="F16" s="24"/>
      <c r="G16" s="24"/>
      <c r="H16" s="52"/>
      <c r="I16" s="52"/>
      <c r="J16" s="24"/>
      <c r="K16" s="24"/>
      <c r="L16" s="21"/>
      <c r="M16" s="105">
        <v>4562.8</v>
      </c>
      <c r="N16" s="21"/>
      <c r="O16" s="105"/>
      <c r="P16" s="51">
        <v>500000</v>
      </c>
      <c r="Q16" s="64"/>
      <c r="R16" s="127">
        <f t="shared" si="0"/>
        <v>0</v>
      </c>
    </row>
    <row r="17" spans="1:24" ht="12.75">
      <c r="A17" s="713"/>
      <c r="B17" s="769"/>
      <c r="C17" s="42" t="s">
        <v>91</v>
      </c>
      <c r="D17" s="27"/>
      <c r="E17" s="27"/>
      <c r="F17" s="27"/>
      <c r="G17" s="27"/>
      <c r="H17" s="59"/>
      <c r="I17" s="59"/>
      <c r="J17" s="27"/>
      <c r="K17" s="27"/>
      <c r="L17" s="21"/>
      <c r="M17" s="105"/>
      <c r="N17" s="21">
        <v>203363.5</v>
      </c>
      <c r="O17" s="105"/>
      <c r="P17" s="51">
        <v>500000</v>
      </c>
      <c r="Q17" s="64">
        <v>135435.75</v>
      </c>
      <c r="R17" s="127">
        <f t="shared" si="0"/>
        <v>27.087149999999998</v>
      </c>
      <c r="X17" s="488"/>
    </row>
    <row r="18" spans="1:18" ht="12.75">
      <c r="A18" s="713"/>
      <c r="B18" s="769"/>
      <c r="C18" s="42" t="s">
        <v>399</v>
      </c>
      <c r="D18" s="27"/>
      <c r="E18" s="27"/>
      <c r="F18" s="27"/>
      <c r="G18" s="27"/>
      <c r="H18" s="59"/>
      <c r="I18" s="59"/>
      <c r="J18" s="27"/>
      <c r="K18" s="27">
        <v>282056</v>
      </c>
      <c r="L18" s="21"/>
      <c r="M18" s="101">
        <v>0</v>
      </c>
      <c r="N18" s="51"/>
      <c r="O18" s="64">
        <f>116838.95+1143.4</f>
        <v>117982.34999999999</v>
      </c>
      <c r="P18" s="51">
        <v>156910</v>
      </c>
      <c r="Q18" s="64">
        <v>156910.22</v>
      </c>
      <c r="R18" s="127">
        <f t="shared" si="0"/>
        <v>100.00014020776243</v>
      </c>
    </row>
    <row r="19" spans="1:21" ht="12.75">
      <c r="A19" s="713"/>
      <c r="B19" s="769"/>
      <c r="C19" s="42" t="s">
        <v>409</v>
      </c>
      <c r="D19" s="24"/>
      <c r="E19" s="24"/>
      <c r="F19" s="24"/>
      <c r="G19" s="24"/>
      <c r="H19" s="52"/>
      <c r="I19" s="52"/>
      <c r="J19" s="24"/>
      <c r="K19" s="24">
        <v>881052</v>
      </c>
      <c r="L19" s="21">
        <v>70504.9</v>
      </c>
      <c r="M19" s="105"/>
      <c r="N19" s="21"/>
      <c r="O19" s="105"/>
      <c r="P19" s="51">
        <v>22415</v>
      </c>
      <c r="Q19" s="64">
        <v>22539.7</v>
      </c>
      <c r="R19" s="127">
        <f t="shared" si="0"/>
        <v>100.55632389025206</v>
      </c>
      <c r="U19" s="488"/>
    </row>
    <row r="20" spans="1:20" ht="12.75">
      <c r="A20" s="713"/>
      <c r="B20" s="769"/>
      <c r="C20" s="38" t="s">
        <v>343</v>
      </c>
      <c r="D20" s="24"/>
      <c r="E20" s="24"/>
      <c r="F20" s="24"/>
      <c r="G20" s="24"/>
      <c r="H20" s="52"/>
      <c r="I20" s="52"/>
      <c r="J20" s="24"/>
      <c r="K20" s="24">
        <v>100004</v>
      </c>
      <c r="L20" s="21"/>
      <c r="M20" s="105">
        <v>13200</v>
      </c>
      <c r="N20" s="21"/>
      <c r="O20" s="105"/>
      <c r="P20" s="51">
        <v>48320</v>
      </c>
      <c r="Q20" s="64">
        <v>69237.43</v>
      </c>
      <c r="R20" s="127">
        <f t="shared" si="0"/>
        <v>143.2893832781457</v>
      </c>
      <c r="T20" s="488"/>
    </row>
    <row r="21" spans="1:21" ht="12.75">
      <c r="A21" s="713"/>
      <c r="B21" s="769"/>
      <c r="C21" s="38" t="s">
        <v>437</v>
      </c>
      <c r="D21" s="24"/>
      <c r="E21" s="24"/>
      <c r="F21" s="24"/>
      <c r="G21" s="24"/>
      <c r="H21" s="52"/>
      <c r="I21" s="52"/>
      <c r="J21" s="24"/>
      <c r="K21" s="24">
        <v>0</v>
      </c>
      <c r="L21" s="21"/>
      <c r="M21" s="105"/>
      <c r="N21" s="21">
        <v>2799.96</v>
      </c>
      <c r="O21" s="105"/>
      <c r="P21" s="51">
        <v>5000</v>
      </c>
      <c r="Q21" s="64">
        <v>4004.53</v>
      </c>
      <c r="R21" s="127">
        <f t="shared" si="0"/>
        <v>80.0906</v>
      </c>
      <c r="U21" s="488"/>
    </row>
    <row r="22" spans="1:18" ht="12.75">
      <c r="A22" s="713"/>
      <c r="B22" s="769"/>
      <c r="C22" s="38" t="s">
        <v>247</v>
      </c>
      <c r="D22" s="24"/>
      <c r="E22" s="24"/>
      <c r="F22" s="24"/>
      <c r="G22" s="24"/>
      <c r="H22" s="52"/>
      <c r="I22" s="52"/>
      <c r="J22" s="24"/>
      <c r="K22" s="24"/>
      <c r="L22" s="21"/>
      <c r="M22" s="105">
        <v>144897.48</v>
      </c>
      <c r="N22" s="21"/>
      <c r="O22" s="105">
        <v>106888.92</v>
      </c>
      <c r="P22" s="51">
        <v>0</v>
      </c>
      <c r="Q22" s="64"/>
      <c r="R22" s="127">
        <f t="shared" si="0"/>
        <v>0</v>
      </c>
    </row>
    <row r="23" spans="1:18" ht="12.75">
      <c r="A23" s="713"/>
      <c r="B23" s="769"/>
      <c r="C23" s="38" t="s">
        <v>442</v>
      </c>
      <c r="D23" s="24"/>
      <c r="E23" s="24"/>
      <c r="F23" s="24"/>
      <c r="G23" s="24"/>
      <c r="H23" s="52"/>
      <c r="I23" s="52"/>
      <c r="J23" s="24"/>
      <c r="K23" s="24"/>
      <c r="L23" s="21"/>
      <c r="M23" s="105"/>
      <c r="N23" s="21"/>
      <c r="O23" s="105"/>
      <c r="P23" s="51">
        <v>1500</v>
      </c>
      <c r="Q23" s="64"/>
      <c r="R23" s="127">
        <f t="shared" si="0"/>
        <v>0</v>
      </c>
    </row>
    <row r="24" spans="1:18" ht="12.75">
      <c r="A24" s="713"/>
      <c r="B24" s="769"/>
      <c r="C24" s="38" t="s">
        <v>343</v>
      </c>
      <c r="D24" s="24"/>
      <c r="E24" s="24"/>
      <c r="F24" s="24"/>
      <c r="G24" s="24"/>
      <c r="H24" s="52"/>
      <c r="I24" s="52"/>
      <c r="J24" s="24"/>
      <c r="K24" s="24"/>
      <c r="L24" s="24"/>
      <c r="M24" s="183"/>
      <c r="N24" s="24">
        <v>681900</v>
      </c>
      <c r="O24" s="183"/>
      <c r="P24" s="24">
        <v>404016</v>
      </c>
      <c r="Q24" s="64">
        <f>409399.73+9652.25+6240</f>
        <v>425291.98</v>
      </c>
      <c r="R24" s="119">
        <f t="shared" si="0"/>
        <v>105.26612312383668</v>
      </c>
    </row>
    <row r="25" spans="1:18" ht="12.75">
      <c r="A25" s="713"/>
      <c r="B25" s="769"/>
      <c r="C25" s="38" t="s">
        <v>448</v>
      </c>
      <c r="D25" s="24"/>
      <c r="E25" s="24"/>
      <c r="F25" s="24"/>
      <c r="G25" s="24"/>
      <c r="H25" s="52"/>
      <c r="I25" s="52"/>
      <c r="J25" s="24"/>
      <c r="K25" s="24"/>
      <c r="L25" s="24"/>
      <c r="M25" s="183">
        <v>1500</v>
      </c>
      <c r="N25" s="24">
        <v>5000</v>
      </c>
      <c r="O25" s="183"/>
      <c r="P25" s="39">
        <v>2500</v>
      </c>
      <c r="Q25" s="101">
        <v>10500</v>
      </c>
      <c r="R25" s="119">
        <f t="shared" si="0"/>
        <v>420</v>
      </c>
    </row>
    <row r="26" spans="1:18" ht="12.75">
      <c r="A26" s="713"/>
      <c r="B26" s="769"/>
      <c r="C26" s="38" t="s">
        <v>447</v>
      </c>
      <c r="D26" s="24"/>
      <c r="E26" s="24"/>
      <c r="F26" s="24"/>
      <c r="G26" s="24"/>
      <c r="H26" s="52"/>
      <c r="I26" s="52"/>
      <c r="J26" s="24"/>
      <c r="K26" s="24"/>
      <c r="L26" s="24"/>
      <c r="M26" s="183"/>
      <c r="N26" s="24"/>
      <c r="O26" s="183"/>
      <c r="P26" s="39">
        <v>3500</v>
      </c>
      <c r="Q26" s="101">
        <v>11376</v>
      </c>
      <c r="R26" s="119">
        <f t="shared" si="0"/>
        <v>325.02857142857147</v>
      </c>
    </row>
    <row r="27" spans="1:18" ht="12.75">
      <c r="A27" s="713"/>
      <c r="B27" s="769"/>
      <c r="C27" s="38" t="s">
        <v>368</v>
      </c>
      <c r="D27" s="24"/>
      <c r="E27" s="24"/>
      <c r="F27" s="24"/>
      <c r="G27" s="24"/>
      <c r="H27" s="52"/>
      <c r="I27" s="52"/>
      <c r="J27" s="24"/>
      <c r="K27" s="24"/>
      <c r="L27" s="24"/>
      <c r="M27" s="183"/>
      <c r="N27" s="24"/>
      <c r="O27" s="183">
        <v>102651.98999999999</v>
      </c>
      <c r="P27" s="39">
        <v>0</v>
      </c>
      <c r="Q27" s="101"/>
      <c r="R27" s="127">
        <f t="shared" si="0"/>
        <v>0</v>
      </c>
    </row>
    <row r="28" spans="1:18" ht="12.75">
      <c r="A28" s="713"/>
      <c r="B28" s="769"/>
      <c r="C28" s="38" t="s">
        <v>363</v>
      </c>
      <c r="D28" s="24"/>
      <c r="E28" s="24"/>
      <c r="F28" s="24"/>
      <c r="G28" s="24"/>
      <c r="H28" s="52"/>
      <c r="I28" s="52"/>
      <c r="J28" s="24"/>
      <c r="K28" s="24"/>
      <c r="L28" s="24"/>
      <c r="M28" s="183"/>
      <c r="N28" s="24"/>
      <c r="O28" s="183"/>
      <c r="P28" s="39">
        <v>0</v>
      </c>
      <c r="Q28" s="101"/>
      <c r="R28" s="127">
        <f t="shared" si="0"/>
        <v>0</v>
      </c>
    </row>
    <row r="29" spans="1:18" ht="12.75">
      <c r="A29" s="713"/>
      <c r="B29" s="769"/>
      <c r="C29" s="38" t="s">
        <v>212</v>
      </c>
      <c r="D29" s="24"/>
      <c r="E29" s="24"/>
      <c r="F29" s="24"/>
      <c r="G29" s="24"/>
      <c r="H29" s="52"/>
      <c r="I29" s="52"/>
      <c r="J29" s="24"/>
      <c r="K29" s="24"/>
      <c r="L29" s="24"/>
      <c r="M29" s="183"/>
      <c r="N29" s="24"/>
      <c r="O29" s="183">
        <v>70252.04000000001</v>
      </c>
      <c r="P29" s="39">
        <v>2500</v>
      </c>
      <c r="Q29" s="101">
        <v>13124.38</v>
      </c>
      <c r="R29" s="127">
        <f t="shared" si="0"/>
        <v>524.9752</v>
      </c>
    </row>
    <row r="30" spans="1:18" ht="13.5" thickBot="1">
      <c r="A30" s="711"/>
      <c r="B30" s="770"/>
      <c r="C30" s="128" t="s">
        <v>209</v>
      </c>
      <c r="D30" s="62"/>
      <c r="E30" s="62"/>
      <c r="F30" s="62"/>
      <c r="G30" s="62"/>
      <c r="H30" s="61"/>
      <c r="I30" s="61"/>
      <c r="J30" s="62"/>
      <c r="K30" s="62">
        <v>748471</v>
      </c>
      <c r="L30" s="62"/>
      <c r="M30" s="103">
        <v>11520</v>
      </c>
      <c r="N30" s="62"/>
      <c r="O30" s="103"/>
      <c r="P30" s="51">
        <v>0</v>
      </c>
      <c r="Q30" s="64"/>
      <c r="R30" s="127">
        <f t="shared" si="0"/>
        <v>0</v>
      </c>
    </row>
    <row r="31" spans="1:22" ht="15.75" thickBot="1">
      <c r="A31" s="334" t="s">
        <v>228</v>
      </c>
      <c r="B31" s="680" t="s">
        <v>34</v>
      </c>
      <c r="C31" s="681"/>
      <c r="D31" s="212">
        <v>154053</v>
      </c>
      <c r="E31" s="212">
        <v>194317</v>
      </c>
      <c r="F31" s="212">
        <v>340238</v>
      </c>
      <c r="G31" s="212">
        <v>484191</v>
      </c>
      <c r="H31" s="212">
        <v>181309</v>
      </c>
      <c r="I31" s="121">
        <v>33695</v>
      </c>
      <c r="J31" s="212">
        <v>79908</v>
      </c>
      <c r="K31" s="60">
        <f>SUM(K32:K51)</f>
        <v>0</v>
      </c>
      <c r="L31" s="60">
        <f>SUM(L32:L51)</f>
        <v>75693</v>
      </c>
      <c r="M31" s="192">
        <f>SUM(M32:M46)</f>
        <v>86855.21999999999</v>
      </c>
      <c r="N31" s="60">
        <f>SUM(N32:N47)</f>
        <v>206988.84</v>
      </c>
      <c r="O31" s="192">
        <f>SUM(O32:O47)</f>
        <v>350387.76999999996</v>
      </c>
      <c r="P31" s="60">
        <f>SUM(P32:P51)</f>
        <v>418586</v>
      </c>
      <c r="Q31" s="192">
        <f>SUM(Q32:Q51)</f>
        <v>405936.13</v>
      </c>
      <c r="R31" s="566">
        <f t="shared" si="0"/>
        <v>96.97795196208186</v>
      </c>
      <c r="U31" s="539"/>
      <c r="V31" s="488"/>
    </row>
    <row r="32" spans="1:18" ht="12.75">
      <c r="A32" s="710"/>
      <c r="B32" s="763"/>
      <c r="C32" s="38" t="s">
        <v>453</v>
      </c>
      <c r="D32" s="24"/>
      <c r="E32" s="24"/>
      <c r="F32" s="24"/>
      <c r="G32" s="24"/>
      <c r="H32" s="52"/>
      <c r="I32" s="336"/>
      <c r="J32" s="337"/>
      <c r="K32" s="24"/>
      <c r="L32" s="21">
        <v>23757.12</v>
      </c>
      <c r="M32" s="105"/>
      <c r="N32" s="21"/>
      <c r="O32" s="105">
        <v>11730</v>
      </c>
      <c r="P32" s="51">
        <v>0</v>
      </c>
      <c r="Q32" s="64"/>
      <c r="R32" s="127">
        <f t="shared" si="0"/>
        <v>0</v>
      </c>
    </row>
    <row r="33" spans="1:18" ht="12.75">
      <c r="A33" s="713"/>
      <c r="B33" s="764"/>
      <c r="C33" s="38" t="s">
        <v>403</v>
      </c>
      <c r="D33" s="24"/>
      <c r="E33" s="24"/>
      <c r="F33" s="24"/>
      <c r="G33" s="24"/>
      <c r="H33" s="52"/>
      <c r="I33" s="336"/>
      <c r="J33" s="337"/>
      <c r="K33" s="24"/>
      <c r="L33" s="21"/>
      <c r="M33" s="105"/>
      <c r="N33" s="21"/>
      <c r="O33" s="105"/>
      <c r="P33" s="51">
        <v>16000</v>
      </c>
      <c r="Q33" s="64">
        <v>15790.76</v>
      </c>
      <c r="R33" s="127">
        <f t="shared" si="0"/>
        <v>98.69225</v>
      </c>
    </row>
    <row r="34" spans="1:18" ht="14.25" customHeight="1">
      <c r="A34" s="713"/>
      <c r="B34" s="764"/>
      <c r="C34" s="38" t="s">
        <v>454</v>
      </c>
      <c r="D34" s="24"/>
      <c r="E34" s="24"/>
      <c r="F34" s="24"/>
      <c r="G34" s="24"/>
      <c r="H34" s="52"/>
      <c r="I34" s="336"/>
      <c r="J34" s="337"/>
      <c r="K34" s="24"/>
      <c r="L34" s="21"/>
      <c r="M34" s="105"/>
      <c r="N34" s="21">
        <v>23667.99</v>
      </c>
      <c r="O34" s="105">
        <f>10618.96+790.51</f>
        <v>11409.47</v>
      </c>
      <c r="P34" s="51">
        <v>0</v>
      </c>
      <c r="Q34" s="64">
        <v>3729.57</v>
      </c>
      <c r="R34" s="127">
        <f t="shared" si="0"/>
        <v>0</v>
      </c>
    </row>
    <row r="35" spans="1:18" ht="12.75">
      <c r="A35" s="713"/>
      <c r="B35" s="764"/>
      <c r="C35" s="38" t="s">
        <v>455</v>
      </c>
      <c r="D35" s="24"/>
      <c r="E35" s="24"/>
      <c r="F35" s="24"/>
      <c r="G35" s="24"/>
      <c r="H35" s="52"/>
      <c r="I35" s="336"/>
      <c r="J35" s="337"/>
      <c r="K35" s="24"/>
      <c r="L35" s="21"/>
      <c r="M35" s="105"/>
      <c r="N35" s="21">
        <v>52202.27</v>
      </c>
      <c r="O35" s="105">
        <v>8820.48</v>
      </c>
      <c r="P35" s="51">
        <v>0</v>
      </c>
      <c r="Q35" s="64"/>
      <c r="R35" s="127">
        <f t="shared" si="0"/>
        <v>0</v>
      </c>
    </row>
    <row r="36" spans="1:18" ht="12.75">
      <c r="A36" s="713"/>
      <c r="B36" s="764"/>
      <c r="C36" s="38" t="s">
        <v>364</v>
      </c>
      <c r="D36" s="24"/>
      <c r="E36" s="24"/>
      <c r="F36" s="24"/>
      <c r="G36" s="24"/>
      <c r="H36" s="52"/>
      <c r="I36" s="336"/>
      <c r="J36" s="337"/>
      <c r="K36" s="24"/>
      <c r="L36" s="21"/>
      <c r="M36" s="105"/>
      <c r="N36" s="21"/>
      <c r="O36" s="105">
        <v>19157.15</v>
      </c>
      <c r="P36" s="51">
        <v>0</v>
      </c>
      <c r="Q36" s="64">
        <v>5784</v>
      </c>
      <c r="R36" s="127">
        <f t="shared" si="0"/>
        <v>0</v>
      </c>
    </row>
    <row r="37" spans="1:18" ht="12.75">
      <c r="A37" s="713"/>
      <c r="B37" s="764"/>
      <c r="C37" s="38" t="s">
        <v>465</v>
      </c>
      <c r="D37" s="24"/>
      <c r="E37" s="24"/>
      <c r="F37" s="24"/>
      <c r="G37" s="24"/>
      <c r="H37" s="52"/>
      <c r="I37" s="336"/>
      <c r="J37" s="337"/>
      <c r="K37" s="24"/>
      <c r="L37" s="21"/>
      <c r="M37" s="105"/>
      <c r="N37" s="21">
        <v>11718.320000000007</v>
      </c>
      <c r="O37" s="105"/>
      <c r="P37" s="51">
        <v>8500</v>
      </c>
      <c r="Q37" s="64">
        <v>6807.52</v>
      </c>
      <c r="R37" s="127">
        <f t="shared" si="0"/>
        <v>80.0884705882353</v>
      </c>
    </row>
    <row r="38" spans="1:18" ht="12.75">
      <c r="A38" s="713"/>
      <c r="B38" s="764"/>
      <c r="C38" s="38" t="s">
        <v>374</v>
      </c>
      <c r="D38" s="24"/>
      <c r="E38" s="24"/>
      <c r="F38" s="24"/>
      <c r="G38" s="24"/>
      <c r="H38" s="52"/>
      <c r="I38" s="336"/>
      <c r="J38" s="337"/>
      <c r="K38" s="24"/>
      <c r="L38" s="21"/>
      <c r="M38" s="105"/>
      <c r="N38" s="21"/>
      <c r="O38" s="105">
        <v>225546.75</v>
      </c>
      <c r="P38" s="51">
        <v>950</v>
      </c>
      <c r="Q38" s="64">
        <v>950</v>
      </c>
      <c r="R38" s="127">
        <f t="shared" si="0"/>
        <v>100</v>
      </c>
    </row>
    <row r="39" spans="1:18" ht="12.75">
      <c r="A39" s="713"/>
      <c r="B39" s="764"/>
      <c r="C39" s="38" t="s">
        <v>365</v>
      </c>
      <c r="D39" s="24"/>
      <c r="E39" s="24"/>
      <c r="F39" s="24"/>
      <c r="G39" s="24"/>
      <c r="H39" s="52"/>
      <c r="I39" s="336"/>
      <c r="J39" s="337"/>
      <c r="K39" s="24"/>
      <c r="L39" s="21"/>
      <c r="M39" s="105"/>
      <c r="N39" s="21"/>
      <c r="O39" s="105">
        <v>7605.81</v>
      </c>
      <c r="P39" s="51">
        <v>0</v>
      </c>
      <c r="Q39" s="64"/>
      <c r="R39" s="127">
        <f t="shared" si="0"/>
        <v>0</v>
      </c>
    </row>
    <row r="40" spans="1:22" ht="12.75">
      <c r="A40" s="713"/>
      <c r="B40" s="764"/>
      <c r="C40" s="38" t="s">
        <v>406</v>
      </c>
      <c r="D40" s="24"/>
      <c r="E40" s="24"/>
      <c r="F40" s="24"/>
      <c r="G40" s="24"/>
      <c r="H40" s="52"/>
      <c r="I40" s="336"/>
      <c r="J40" s="337"/>
      <c r="K40" s="24"/>
      <c r="L40" s="21"/>
      <c r="M40" s="105"/>
      <c r="N40" s="21"/>
      <c r="O40" s="105"/>
      <c r="P40" s="51">
        <v>57218</v>
      </c>
      <c r="Q40" s="64">
        <v>49402.53</v>
      </c>
      <c r="R40" s="127">
        <f t="shared" si="0"/>
        <v>86.34088923066167</v>
      </c>
      <c r="U40" s="488"/>
      <c r="V40" s="488"/>
    </row>
    <row r="41" spans="1:22" ht="12.75">
      <c r="A41" s="713"/>
      <c r="B41" s="764"/>
      <c r="C41" s="38" t="s">
        <v>405</v>
      </c>
      <c r="D41" s="24"/>
      <c r="E41" s="24"/>
      <c r="F41" s="24"/>
      <c r="G41" s="24"/>
      <c r="H41" s="52"/>
      <c r="I41" s="336"/>
      <c r="J41" s="337"/>
      <c r="K41" s="24"/>
      <c r="L41" s="21">
        <v>29104.44</v>
      </c>
      <c r="M41" s="105"/>
      <c r="N41" s="21"/>
      <c r="O41" s="105"/>
      <c r="P41" s="51">
        <v>83717</v>
      </c>
      <c r="Q41" s="64">
        <v>83717.47</v>
      </c>
      <c r="R41" s="127">
        <f t="shared" si="0"/>
        <v>100.00056141524422</v>
      </c>
      <c r="V41" s="488"/>
    </row>
    <row r="42" spans="1:18" ht="12.75">
      <c r="A42" s="713"/>
      <c r="B42" s="764"/>
      <c r="C42" s="38" t="s">
        <v>431</v>
      </c>
      <c r="D42" s="24"/>
      <c r="E42" s="24"/>
      <c r="F42" s="24"/>
      <c r="G42" s="24"/>
      <c r="H42" s="52"/>
      <c r="I42" s="336"/>
      <c r="J42" s="337"/>
      <c r="K42" s="24"/>
      <c r="L42" s="21"/>
      <c r="M42" s="105">
        <v>35969.53</v>
      </c>
      <c r="N42" s="21"/>
      <c r="O42" s="105"/>
      <c r="P42" s="51">
        <v>7188</v>
      </c>
      <c r="Q42" s="64">
        <v>7188</v>
      </c>
      <c r="R42" s="127">
        <f t="shared" si="0"/>
        <v>100</v>
      </c>
    </row>
    <row r="43" spans="1:18" ht="12.75" customHeight="1">
      <c r="A43" s="713"/>
      <c r="B43" s="764"/>
      <c r="C43" s="38" t="s">
        <v>35</v>
      </c>
      <c r="D43" s="27"/>
      <c r="E43" s="27"/>
      <c r="F43" s="27"/>
      <c r="G43" s="27"/>
      <c r="H43" s="59"/>
      <c r="I43" s="338"/>
      <c r="J43" s="339"/>
      <c r="K43" s="27"/>
      <c r="L43" s="27"/>
      <c r="M43" s="105">
        <v>2200</v>
      </c>
      <c r="N43" s="21"/>
      <c r="O43" s="105"/>
      <c r="P43" s="51">
        <v>0</v>
      </c>
      <c r="Q43" s="64"/>
      <c r="R43" s="127">
        <f t="shared" si="0"/>
        <v>0</v>
      </c>
    </row>
    <row r="44" spans="1:20" ht="12.75" customHeight="1">
      <c r="A44" s="713"/>
      <c r="B44" s="764"/>
      <c r="C44" s="38" t="s">
        <v>429</v>
      </c>
      <c r="D44" s="27"/>
      <c r="E44" s="27"/>
      <c r="F44" s="27"/>
      <c r="G44" s="27"/>
      <c r="H44" s="59"/>
      <c r="I44" s="338"/>
      <c r="J44" s="339"/>
      <c r="K44" s="27"/>
      <c r="L44" s="27"/>
      <c r="M44" s="105">
        <v>28928.71</v>
      </c>
      <c r="N44" s="21"/>
      <c r="O44" s="105"/>
      <c r="P44" s="51">
        <v>4250</v>
      </c>
      <c r="Q44" s="64">
        <v>4250</v>
      </c>
      <c r="R44" s="127">
        <f t="shared" si="0"/>
        <v>100</v>
      </c>
      <c r="T44" s="539"/>
    </row>
    <row r="45" spans="1:18" ht="12.75" customHeight="1">
      <c r="A45" s="713"/>
      <c r="B45" s="764"/>
      <c r="C45" s="38" t="s">
        <v>438</v>
      </c>
      <c r="D45" s="27"/>
      <c r="E45" s="27"/>
      <c r="F45" s="27"/>
      <c r="G45" s="27"/>
      <c r="H45" s="59"/>
      <c r="I45" s="338"/>
      <c r="J45" s="339"/>
      <c r="K45" s="27"/>
      <c r="L45" s="27"/>
      <c r="M45" s="183">
        <v>19756.98</v>
      </c>
      <c r="N45" s="21"/>
      <c r="O45" s="105"/>
      <c r="P45" s="51">
        <v>38266</v>
      </c>
      <c r="Q45" s="64">
        <v>33806.09</v>
      </c>
      <c r="R45" s="127">
        <f t="shared" si="0"/>
        <v>88.34497987769821</v>
      </c>
    </row>
    <row r="46" spans="1:18" ht="12.75">
      <c r="A46" s="713"/>
      <c r="B46" s="764"/>
      <c r="C46" s="38" t="s">
        <v>456</v>
      </c>
      <c r="D46" s="27"/>
      <c r="E46" s="27"/>
      <c r="F46" s="27"/>
      <c r="G46" s="27"/>
      <c r="H46" s="59"/>
      <c r="I46" s="338"/>
      <c r="J46" s="339"/>
      <c r="K46" s="27"/>
      <c r="L46" s="27">
        <v>22831.440000000002</v>
      </c>
      <c r="M46" s="24">
        <v>0</v>
      </c>
      <c r="N46" s="21">
        <v>114400.26</v>
      </c>
      <c r="O46" s="105">
        <v>28782.19</v>
      </c>
      <c r="P46" s="51">
        <v>0</v>
      </c>
      <c r="Q46" s="64"/>
      <c r="R46" s="127">
        <f t="shared" si="0"/>
        <v>0</v>
      </c>
    </row>
    <row r="47" spans="1:18" ht="12.75">
      <c r="A47" s="713"/>
      <c r="B47" s="764"/>
      <c r="C47" s="38" t="s">
        <v>384</v>
      </c>
      <c r="D47" s="27"/>
      <c r="E47" s="27"/>
      <c r="F47" s="27"/>
      <c r="G47" s="27"/>
      <c r="H47" s="59"/>
      <c r="I47" s="338"/>
      <c r="J47" s="339"/>
      <c r="K47" s="27"/>
      <c r="L47" s="27"/>
      <c r="M47" s="24"/>
      <c r="N47" s="21">
        <v>5000</v>
      </c>
      <c r="O47" s="105">
        <v>37335.92</v>
      </c>
      <c r="P47" s="51">
        <v>0</v>
      </c>
      <c r="Q47" s="64"/>
      <c r="R47" s="127">
        <f t="shared" si="0"/>
        <v>0</v>
      </c>
    </row>
    <row r="48" spans="1:18" ht="12.75">
      <c r="A48" s="713"/>
      <c r="B48" s="764"/>
      <c r="C48" s="38" t="s">
        <v>428</v>
      </c>
      <c r="D48" s="27"/>
      <c r="E48" s="27"/>
      <c r="F48" s="27"/>
      <c r="G48" s="27"/>
      <c r="H48" s="59"/>
      <c r="I48" s="338"/>
      <c r="J48" s="339"/>
      <c r="K48" s="27"/>
      <c r="L48" s="27"/>
      <c r="M48" s="27"/>
      <c r="N48" s="21"/>
      <c r="O48" s="105"/>
      <c r="P48" s="51">
        <v>2900</v>
      </c>
      <c r="Q48" s="64">
        <v>2630</v>
      </c>
      <c r="R48" s="127">
        <f t="shared" si="0"/>
        <v>90.6896551724138</v>
      </c>
    </row>
    <row r="49" spans="1:23" ht="12.75">
      <c r="A49" s="713"/>
      <c r="B49" s="764"/>
      <c r="C49" s="38" t="s">
        <v>404</v>
      </c>
      <c r="D49" s="27"/>
      <c r="E49" s="27"/>
      <c r="F49" s="27"/>
      <c r="G49" s="27"/>
      <c r="H49" s="59"/>
      <c r="I49" s="338"/>
      <c r="J49" s="339"/>
      <c r="K49" s="27"/>
      <c r="L49" s="27"/>
      <c r="M49" s="27"/>
      <c r="N49" s="24"/>
      <c r="O49" s="101"/>
      <c r="P49" s="51">
        <v>17999</v>
      </c>
      <c r="Q49" s="64">
        <v>16240.38</v>
      </c>
      <c r="R49" s="127">
        <f t="shared" si="0"/>
        <v>90.22934607478193</v>
      </c>
      <c r="W49" s="488"/>
    </row>
    <row r="50" spans="1:20" ht="12.75">
      <c r="A50" s="713"/>
      <c r="B50" s="764"/>
      <c r="C50" s="38" t="s">
        <v>383</v>
      </c>
      <c r="D50" s="27"/>
      <c r="E50" s="27"/>
      <c r="F50" s="27"/>
      <c r="G50" s="27"/>
      <c r="H50" s="59"/>
      <c r="I50" s="338"/>
      <c r="J50" s="339"/>
      <c r="K50" s="27"/>
      <c r="L50" s="27"/>
      <c r="M50" s="27"/>
      <c r="N50" s="24"/>
      <c r="O50" s="101"/>
      <c r="P50" s="51">
        <v>42119</v>
      </c>
      <c r="Q50" s="64">
        <f>5133.93+33658.33</f>
        <v>38792.26</v>
      </c>
      <c r="R50" s="127">
        <f t="shared" si="0"/>
        <v>92.10156936299533</v>
      </c>
      <c r="T50" s="488"/>
    </row>
    <row r="51" spans="1:18" ht="13.5" thickBot="1">
      <c r="A51" s="711"/>
      <c r="B51" s="765"/>
      <c r="C51" s="41" t="s">
        <v>382</v>
      </c>
      <c r="D51" s="43"/>
      <c r="E51" s="43"/>
      <c r="F51" s="43"/>
      <c r="G51" s="43"/>
      <c r="H51" s="53"/>
      <c r="I51" s="366"/>
      <c r="J51" s="367"/>
      <c r="K51" s="43"/>
      <c r="L51" s="43"/>
      <c r="M51" s="43"/>
      <c r="N51" s="43"/>
      <c r="O51" s="279"/>
      <c r="P51" s="188">
        <v>139479</v>
      </c>
      <c r="Q51" s="308">
        <v>136847.55</v>
      </c>
      <c r="R51" s="597">
        <f t="shared" si="0"/>
        <v>98.11337190544812</v>
      </c>
    </row>
    <row r="52" spans="1:18" ht="15.75" thickBot="1">
      <c r="A52" s="340" t="s">
        <v>84</v>
      </c>
      <c r="B52" s="680" t="s">
        <v>36</v>
      </c>
      <c r="C52" s="681"/>
      <c r="D52" s="341">
        <v>80894</v>
      </c>
      <c r="E52" s="212">
        <v>8298</v>
      </c>
      <c r="F52" s="212">
        <v>71666</v>
      </c>
      <c r="G52" s="212">
        <v>1330064</v>
      </c>
      <c r="H52" s="212">
        <v>2147096</v>
      </c>
      <c r="I52" s="121">
        <v>8121</v>
      </c>
      <c r="J52" s="212">
        <v>93729</v>
      </c>
      <c r="K52" s="60">
        <f aca="true" t="shared" si="1" ref="K52:Q52">SUM(K53:K58)</f>
        <v>28919</v>
      </c>
      <c r="L52" s="60">
        <f t="shared" si="1"/>
        <v>0</v>
      </c>
      <c r="M52" s="192">
        <f t="shared" si="1"/>
        <v>69453.41</v>
      </c>
      <c r="N52" s="60">
        <f t="shared" si="1"/>
        <v>5501</v>
      </c>
      <c r="O52" s="192">
        <f t="shared" si="1"/>
        <v>396374.4</v>
      </c>
      <c r="P52" s="60">
        <f t="shared" si="1"/>
        <v>252351</v>
      </c>
      <c r="Q52" s="192">
        <f t="shared" si="1"/>
        <v>215644.72</v>
      </c>
      <c r="R52" s="566">
        <f t="shared" si="0"/>
        <v>85.45427598860317</v>
      </c>
    </row>
    <row r="53" spans="1:18" ht="12.75">
      <c r="A53" s="710"/>
      <c r="B53" s="763"/>
      <c r="C53" s="36" t="s">
        <v>385</v>
      </c>
      <c r="D53" s="84"/>
      <c r="E53" s="84"/>
      <c r="F53" s="84"/>
      <c r="G53" s="84"/>
      <c r="H53" s="49"/>
      <c r="I53" s="342"/>
      <c r="J53" s="343"/>
      <c r="K53" s="84">
        <v>28919</v>
      </c>
      <c r="L53" s="21"/>
      <c r="M53" s="105"/>
      <c r="N53" s="21">
        <v>5501</v>
      </c>
      <c r="O53" s="105"/>
      <c r="P53" s="51">
        <v>66424</v>
      </c>
      <c r="Q53" s="64">
        <v>66421.97</v>
      </c>
      <c r="R53" s="127">
        <f t="shared" si="0"/>
        <v>99.99694387570757</v>
      </c>
    </row>
    <row r="54" spans="1:18" ht="12.75" customHeight="1">
      <c r="A54" s="713"/>
      <c r="B54" s="764"/>
      <c r="C54" s="63" t="s">
        <v>361</v>
      </c>
      <c r="D54" s="21"/>
      <c r="E54" s="21"/>
      <c r="F54" s="21"/>
      <c r="G54" s="21"/>
      <c r="H54" s="50"/>
      <c r="I54" s="344"/>
      <c r="J54" s="345"/>
      <c r="K54" s="21"/>
      <c r="L54" s="21"/>
      <c r="M54" s="105">
        <v>69453.41</v>
      </c>
      <c r="N54" s="21"/>
      <c r="O54" s="105">
        <v>20800</v>
      </c>
      <c r="P54" s="51"/>
      <c r="Q54" s="64"/>
      <c r="R54" s="127">
        <f t="shared" si="0"/>
        <v>0</v>
      </c>
    </row>
    <row r="55" spans="1:20" ht="12.75">
      <c r="A55" s="713"/>
      <c r="B55" s="764"/>
      <c r="C55" s="38" t="s">
        <v>373</v>
      </c>
      <c r="D55" s="21"/>
      <c r="E55" s="21"/>
      <c r="F55" s="21"/>
      <c r="G55" s="21"/>
      <c r="H55" s="50"/>
      <c r="I55" s="344"/>
      <c r="J55" s="345"/>
      <c r="K55" s="21"/>
      <c r="L55" s="21"/>
      <c r="M55" s="21"/>
      <c r="N55" s="21"/>
      <c r="O55" s="105">
        <v>344674.4</v>
      </c>
      <c r="P55" s="51">
        <v>185927</v>
      </c>
      <c r="Q55" s="64">
        <v>149222.75</v>
      </c>
      <c r="R55" s="127">
        <f t="shared" si="0"/>
        <v>80.25878436160428</v>
      </c>
      <c r="T55" s="539">
        <v>365474.4</v>
      </c>
    </row>
    <row r="56" spans="1:18" ht="12.75" hidden="1">
      <c r="A56" s="713"/>
      <c r="B56" s="764"/>
      <c r="C56" s="38" t="s">
        <v>367</v>
      </c>
      <c r="D56" s="24"/>
      <c r="E56" s="24"/>
      <c r="F56" s="24"/>
      <c r="G56" s="24"/>
      <c r="H56" s="52"/>
      <c r="I56" s="336"/>
      <c r="J56" s="337"/>
      <c r="K56" s="24"/>
      <c r="L56" s="24"/>
      <c r="M56" s="24"/>
      <c r="N56" s="24"/>
      <c r="O56" s="183"/>
      <c r="P56" s="39"/>
      <c r="Q56" s="101"/>
      <c r="R56" s="119">
        <f t="shared" si="0"/>
        <v>0</v>
      </c>
    </row>
    <row r="57" spans="1:18" ht="12.75" customHeight="1" hidden="1">
      <c r="A57" s="713"/>
      <c r="B57" s="764"/>
      <c r="C57" s="38" t="s">
        <v>37</v>
      </c>
      <c r="D57" s="24"/>
      <c r="E57" s="24"/>
      <c r="F57" s="24"/>
      <c r="G57" s="24"/>
      <c r="H57" s="52"/>
      <c r="I57" s="336"/>
      <c r="J57" s="337"/>
      <c r="K57" s="24"/>
      <c r="L57" s="24"/>
      <c r="M57" s="24"/>
      <c r="N57" s="24"/>
      <c r="O57" s="183"/>
      <c r="P57" s="39"/>
      <c r="Q57" s="101"/>
      <c r="R57" s="119">
        <f t="shared" si="0"/>
        <v>0</v>
      </c>
    </row>
    <row r="58" spans="1:18" ht="13.5" thickBot="1">
      <c r="A58" s="711"/>
      <c r="B58" s="765"/>
      <c r="C58" s="63" t="s">
        <v>390</v>
      </c>
      <c r="D58" s="62"/>
      <c r="E58" s="62"/>
      <c r="F58" s="62"/>
      <c r="G58" s="62"/>
      <c r="H58" s="61"/>
      <c r="I58" s="346"/>
      <c r="J58" s="347"/>
      <c r="K58" s="68"/>
      <c r="L58" s="62"/>
      <c r="M58" s="62"/>
      <c r="N58" s="62"/>
      <c r="O58" s="103">
        <v>30900</v>
      </c>
      <c r="P58" s="220"/>
      <c r="Q58" s="436"/>
      <c r="R58" s="586">
        <f t="shared" si="0"/>
        <v>0</v>
      </c>
    </row>
    <row r="59" spans="1:18" ht="15.75" hidden="1" thickBot="1">
      <c r="A59" s="348" t="s">
        <v>239</v>
      </c>
      <c r="B59" s="762" t="s">
        <v>240</v>
      </c>
      <c r="C59" s="762"/>
      <c r="D59" s="349"/>
      <c r="E59" s="349"/>
      <c r="F59" s="349"/>
      <c r="G59" s="349"/>
      <c r="H59" s="350">
        <v>182399</v>
      </c>
      <c r="I59" s="350"/>
      <c r="J59" s="351"/>
      <c r="K59" s="94"/>
      <c r="L59" s="94"/>
      <c r="M59" s="94"/>
      <c r="N59" s="94"/>
      <c r="O59" s="454"/>
      <c r="P59" s="60"/>
      <c r="Q59" s="192"/>
      <c r="R59" s="566">
        <f t="shared" si="0"/>
        <v>0</v>
      </c>
    </row>
    <row r="60" spans="1:18" ht="13.5" hidden="1" thickBot="1">
      <c r="A60" s="333"/>
      <c r="B60" s="335"/>
      <c r="C60" s="61"/>
      <c r="D60" s="62"/>
      <c r="E60" s="62"/>
      <c r="F60" s="62"/>
      <c r="G60" s="62"/>
      <c r="H60" s="61"/>
      <c r="I60" s="346"/>
      <c r="J60" s="347"/>
      <c r="K60" s="62"/>
      <c r="L60" s="62"/>
      <c r="M60" s="62"/>
      <c r="N60" s="62"/>
      <c r="O60" s="103"/>
      <c r="P60" s="220"/>
      <c r="Q60" s="436"/>
      <c r="R60" s="586">
        <f t="shared" si="0"/>
        <v>0</v>
      </c>
    </row>
    <row r="61" spans="1:21" ht="15.75" thickBot="1">
      <c r="A61" s="190" t="s">
        <v>63</v>
      </c>
      <c r="B61" s="680" t="s">
        <v>64</v>
      </c>
      <c r="C61" s="681"/>
      <c r="D61" s="191">
        <v>0</v>
      </c>
      <c r="E61" s="191">
        <v>0</v>
      </c>
      <c r="F61" s="191">
        <v>6639</v>
      </c>
      <c r="G61" s="191">
        <v>113606</v>
      </c>
      <c r="H61" s="191">
        <v>254005</v>
      </c>
      <c r="I61" s="255">
        <v>2699311</v>
      </c>
      <c r="J61" s="191">
        <v>3603230</v>
      </c>
      <c r="K61" s="60">
        <f>SUM(K68:K68)</f>
        <v>1781346</v>
      </c>
      <c r="L61" s="60">
        <f aca="true" t="shared" si="2" ref="L61:Q61">SUM(L62:L68)</f>
        <v>11891.04</v>
      </c>
      <c r="M61" s="192">
        <f t="shared" si="2"/>
        <v>1099.52</v>
      </c>
      <c r="N61" s="60">
        <f t="shared" si="2"/>
        <v>9688.17</v>
      </c>
      <c r="O61" s="192">
        <f t="shared" si="2"/>
        <v>125008.29000000001</v>
      </c>
      <c r="P61" s="60">
        <f t="shared" si="2"/>
        <v>35349</v>
      </c>
      <c r="Q61" s="192">
        <f t="shared" si="2"/>
        <v>30038.8</v>
      </c>
      <c r="R61" s="566">
        <f t="shared" si="0"/>
        <v>84.97779286542759</v>
      </c>
      <c r="T61" s="488"/>
      <c r="U61" s="488"/>
    </row>
    <row r="62" spans="1:18" ht="15">
      <c r="A62" s="708"/>
      <c r="B62" s="771"/>
      <c r="C62" s="352" t="s">
        <v>361</v>
      </c>
      <c r="D62" s="353"/>
      <c r="E62" s="353"/>
      <c r="F62" s="353"/>
      <c r="G62" s="353"/>
      <c r="H62" s="352"/>
      <c r="I62" s="354"/>
      <c r="J62" s="355"/>
      <c r="K62" s="281"/>
      <c r="L62" s="77">
        <v>11891.04</v>
      </c>
      <c r="M62" s="356">
        <v>1099.52</v>
      </c>
      <c r="N62" s="356"/>
      <c r="O62" s="356">
        <v>633.61</v>
      </c>
      <c r="P62" s="77"/>
      <c r="Q62" s="356"/>
      <c r="R62" s="598">
        <f t="shared" si="0"/>
        <v>0</v>
      </c>
    </row>
    <row r="63" spans="1:18" ht="15">
      <c r="A63" s="712"/>
      <c r="B63" s="772"/>
      <c r="C63" s="357" t="s">
        <v>432</v>
      </c>
      <c r="D63" s="358"/>
      <c r="E63" s="358"/>
      <c r="F63" s="358"/>
      <c r="G63" s="358"/>
      <c r="H63" s="357"/>
      <c r="I63" s="359"/>
      <c r="J63" s="360"/>
      <c r="K63" s="283"/>
      <c r="L63" s="79"/>
      <c r="M63" s="437"/>
      <c r="N63" s="437"/>
      <c r="O63" s="437">
        <v>19999.68</v>
      </c>
      <c r="P63" s="79">
        <v>19199</v>
      </c>
      <c r="Q63" s="437">
        <v>19198.8</v>
      </c>
      <c r="R63" s="599">
        <f t="shared" si="0"/>
        <v>99.99895827907703</v>
      </c>
    </row>
    <row r="64" spans="1:18" ht="15" hidden="1">
      <c r="A64" s="712"/>
      <c r="B64" s="772"/>
      <c r="C64" s="357" t="s">
        <v>352</v>
      </c>
      <c r="D64" s="358"/>
      <c r="E64" s="358"/>
      <c r="F64" s="358"/>
      <c r="G64" s="358"/>
      <c r="H64" s="357"/>
      <c r="I64" s="359"/>
      <c r="J64" s="360"/>
      <c r="K64" s="283"/>
      <c r="L64" s="283"/>
      <c r="M64" s="79"/>
      <c r="N64" s="79">
        <v>5467.2</v>
      </c>
      <c r="O64" s="437"/>
      <c r="P64" s="79">
        <v>0</v>
      </c>
      <c r="Q64" s="437"/>
      <c r="R64" s="599">
        <f t="shared" si="0"/>
        <v>0</v>
      </c>
    </row>
    <row r="65" spans="1:18" ht="14.25" customHeight="1">
      <c r="A65" s="712"/>
      <c r="B65" s="772"/>
      <c r="C65" s="357" t="s">
        <v>370</v>
      </c>
      <c r="D65" s="358"/>
      <c r="E65" s="358"/>
      <c r="F65" s="358"/>
      <c r="G65" s="358"/>
      <c r="H65" s="357"/>
      <c r="I65" s="359"/>
      <c r="J65" s="360"/>
      <c r="K65" s="283"/>
      <c r="L65" s="283"/>
      <c r="M65" s="283"/>
      <c r="N65" s="476">
        <v>4220.97</v>
      </c>
      <c r="O65" s="437">
        <v>3670</v>
      </c>
      <c r="P65" s="79">
        <v>10000</v>
      </c>
      <c r="Q65" s="437">
        <v>4690</v>
      </c>
      <c r="R65" s="599">
        <f t="shared" si="0"/>
        <v>46.9</v>
      </c>
    </row>
    <row r="66" spans="1:18" ht="15" hidden="1">
      <c r="A66" s="712"/>
      <c r="B66" s="772"/>
      <c r="C66" s="361"/>
      <c r="D66" s="362"/>
      <c r="E66" s="362"/>
      <c r="F66" s="362"/>
      <c r="G66" s="362"/>
      <c r="H66" s="361"/>
      <c r="I66" s="363"/>
      <c r="J66" s="364"/>
      <c r="K66" s="365"/>
      <c r="L66" s="365"/>
      <c r="M66" s="365"/>
      <c r="N66" s="365"/>
      <c r="O66" s="545"/>
      <c r="P66" s="500">
        <v>0</v>
      </c>
      <c r="Q66" s="451"/>
      <c r="R66" s="600">
        <f t="shared" si="0"/>
        <v>0</v>
      </c>
    </row>
    <row r="67" spans="1:18" ht="15">
      <c r="A67" s="712"/>
      <c r="B67" s="772"/>
      <c r="C67" s="361" t="s">
        <v>430</v>
      </c>
      <c r="D67" s="362"/>
      <c r="E67" s="362"/>
      <c r="F67" s="362"/>
      <c r="G67" s="362"/>
      <c r="H67" s="361"/>
      <c r="I67" s="363"/>
      <c r="J67" s="364"/>
      <c r="K67" s="365"/>
      <c r="L67" s="365"/>
      <c r="M67" s="365"/>
      <c r="N67" s="365"/>
      <c r="O67" s="545"/>
      <c r="P67" s="81">
        <v>6150</v>
      </c>
      <c r="Q67" s="451">
        <v>6150</v>
      </c>
      <c r="R67" s="588">
        <f t="shared" si="0"/>
        <v>100</v>
      </c>
    </row>
    <row r="68" spans="1:18" ht="13.5" thickBot="1">
      <c r="A68" s="709"/>
      <c r="B68" s="773"/>
      <c r="C68" s="41" t="s">
        <v>386</v>
      </c>
      <c r="D68" s="43"/>
      <c r="E68" s="43"/>
      <c r="F68" s="43"/>
      <c r="G68" s="43"/>
      <c r="H68" s="53"/>
      <c r="I68" s="366"/>
      <c r="J68" s="367"/>
      <c r="K68" s="43">
        <v>1781346</v>
      </c>
      <c r="L68" s="68"/>
      <c r="M68" s="68"/>
      <c r="N68" s="68"/>
      <c r="O68" s="189">
        <v>100705</v>
      </c>
      <c r="P68" s="188"/>
      <c r="Q68" s="308"/>
      <c r="R68" s="597">
        <f aca="true" t="shared" si="3" ref="R68:R132">IF(P68=0,0,Q68/P68)*100</f>
        <v>0</v>
      </c>
    </row>
    <row r="69" spans="1:18" ht="15.75" thickBot="1">
      <c r="A69" s="334" t="s">
        <v>342</v>
      </c>
      <c r="B69" s="762" t="s">
        <v>341</v>
      </c>
      <c r="C69" s="762"/>
      <c r="D69" s="212">
        <v>38040</v>
      </c>
      <c r="E69" s="212">
        <v>144792</v>
      </c>
      <c r="F69" s="212">
        <v>36414</v>
      </c>
      <c r="G69" s="212">
        <v>3228</v>
      </c>
      <c r="H69" s="212">
        <v>15058</v>
      </c>
      <c r="I69" s="350"/>
      <c r="J69" s="351"/>
      <c r="K69" s="94">
        <f aca="true" t="shared" si="4" ref="K69:P69">SUM(K70:K73)</f>
        <v>5000</v>
      </c>
      <c r="L69" s="94">
        <f t="shared" si="4"/>
        <v>35480.8</v>
      </c>
      <c r="M69" s="454">
        <f t="shared" si="4"/>
        <v>555131.6</v>
      </c>
      <c r="N69" s="94">
        <f t="shared" si="4"/>
        <v>10197.6</v>
      </c>
      <c r="O69" s="454">
        <f t="shared" si="4"/>
        <v>323.6</v>
      </c>
      <c r="P69" s="94">
        <f t="shared" si="4"/>
        <v>20000</v>
      </c>
      <c r="Q69" s="454">
        <f>SUM(Q70:Q73)</f>
        <v>16171.269999999999</v>
      </c>
      <c r="R69" s="566">
        <f t="shared" si="3"/>
        <v>80.85634999999999</v>
      </c>
    </row>
    <row r="70" spans="1:18" ht="14.25">
      <c r="A70" s="708"/>
      <c r="B70" s="766"/>
      <c r="C70" s="36" t="s">
        <v>460</v>
      </c>
      <c r="D70" s="84"/>
      <c r="E70" s="84"/>
      <c r="F70" s="84"/>
      <c r="G70" s="84"/>
      <c r="H70" s="49"/>
      <c r="I70" s="342"/>
      <c r="J70" s="343"/>
      <c r="K70" s="369">
        <v>5000</v>
      </c>
      <c r="L70" s="369">
        <v>20503.12</v>
      </c>
      <c r="M70" s="466"/>
      <c r="N70" s="369"/>
      <c r="O70" s="466"/>
      <c r="P70" s="433">
        <v>20000</v>
      </c>
      <c r="Q70" s="134">
        <v>12230.88</v>
      </c>
      <c r="R70" s="596">
        <f t="shared" si="3"/>
        <v>61.154399999999995</v>
      </c>
    </row>
    <row r="71" spans="1:18" ht="14.25">
      <c r="A71" s="712"/>
      <c r="B71" s="767"/>
      <c r="C71" s="63" t="s">
        <v>361</v>
      </c>
      <c r="D71" s="62"/>
      <c r="E71" s="62"/>
      <c r="F71" s="62"/>
      <c r="G71" s="62"/>
      <c r="H71" s="61"/>
      <c r="I71" s="346"/>
      <c r="J71" s="347"/>
      <c r="K71" s="465"/>
      <c r="L71" s="632"/>
      <c r="M71" s="633"/>
      <c r="N71" s="632"/>
      <c r="O71" s="633"/>
      <c r="P71" s="634"/>
      <c r="Q71" s="64">
        <v>3940.39</v>
      </c>
      <c r="R71" s="127">
        <f t="shared" si="3"/>
        <v>0</v>
      </c>
    </row>
    <row r="72" spans="1:21" ht="15" thickBot="1">
      <c r="A72" s="712"/>
      <c r="B72" s="767"/>
      <c r="C72" s="63" t="s">
        <v>347</v>
      </c>
      <c r="D72" s="62"/>
      <c r="E72" s="62"/>
      <c r="F72" s="62"/>
      <c r="G72" s="62"/>
      <c r="H72" s="61"/>
      <c r="I72" s="346"/>
      <c r="J72" s="347"/>
      <c r="K72" s="465"/>
      <c r="L72" s="489"/>
      <c r="M72" s="490">
        <v>555131.6</v>
      </c>
      <c r="N72" s="24">
        <v>10197.6</v>
      </c>
      <c r="O72" s="490">
        <v>323.6</v>
      </c>
      <c r="P72" s="491"/>
      <c r="Q72" s="492"/>
      <c r="R72" s="601">
        <f t="shared" si="3"/>
        <v>0</v>
      </c>
      <c r="U72" s="488"/>
    </row>
    <row r="73" spans="1:18" ht="13.5" hidden="1" thickBot="1">
      <c r="A73" s="709"/>
      <c r="B73" s="768"/>
      <c r="C73" s="38" t="s">
        <v>38</v>
      </c>
      <c r="D73" s="62"/>
      <c r="E73" s="62"/>
      <c r="F73" s="62"/>
      <c r="G73" s="62"/>
      <c r="H73" s="61"/>
      <c r="I73" s="346"/>
      <c r="J73" s="347"/>
      <c r="K73" s="62"/>
      <c r="L73" s="62">
        <v>14977.68</v>
      </c>
      <c r="M73" s="103"/>
      <c r="N73" s="62"/>
      <c r="O73" s="103"/>
      <c r="P73" s="220"/>
      <c r="Q73" s="436"/>
      <c r="R73" s="586">
        <f t="shared" si="3"/>
        <v>0</v>
      </c>
    </row>
    <row r="74" spans="1:20" ht="15.75" thickBot="1">
      <c r="A74" s="334" t="s">
        <v>74</v>
      </c>
      <c r="B74" s="762" t="s">
        <v>324</v>
      </c>
      <c r="C74" s="762"/>
      <c r="D74" s="212">
        <v>326960</v>
      </c>
      <c r="E74" s="212">
        <v>144858</v>
      </c>
      <c r="F74" s="212">
        <v>123880</v>
      </c>
      <c r="G74" s="212">
        <v>20761</v>
      </c>
      <c r="H74" s="212">
        <v>158221</v>
      </c>
      <c r="I74" s="121">
        <v>92051</v>
      </c>
      <c r="J74" s="212">
        <v>68225</v>
      </c>
      <c r="K74" s="60">
        <f aca="true" t="shared" si="5" ref="K74:Q74">SUM(K75:K95)</f>
        <v>16198</v>
      </c>
      <c r="L74" s="60">
        <f t="shared" si="5"/>
        <v>1305435.64</v>
      </c>
      <c r="M74" s="192">
        <f t="shared" si="5"/>
        <v>139207.66</v>
      </c>
      <c r="N74" s="60">
        <f t="shared" si="5"/>
        <v>44614.21</v>
      </c>
      <c r="O74" s="192">
        <f t="shared" si="5"/>
        <v>60675.76000000001</v>
      </c>
      <c r="P74" s="60">
        <f t="shared" si="5"/>
        <v>40778</v>
      </c>
      <c r="Q74" s="192">
        <f t="shared" si="5"/>
        <v>54775.5</v>
      </c>
      <c r="R74" s="566">
        <f t="shared" si="3"/>
        <v>134.32610721467458</v>
      </c>
      <c r="T74" s="539"/>
    </row>
    <row r="75" spans="1:18" ht="12.75" hidden="1">
      <c r="A75" s="710"/>
      <c r="B75" s="763"/>
      <c r="C75" s="370" t="s">
        <v>39</v>
      </c>
      <c r="D75" s="371"/>
      <c r="E75" s="371"/>
      <c r="F75" s="371"/>
      <c r="G75" s="371"/>
      <c r="H75" s="372"/>
      <c r="I75" s="373"/>
      <c r="J75" s="374"/>
      <c r="K75" s="84"/>
      <c r="L75" s="84"/>
      <c r="M75" s="181">
        <v>1289.08</v>
      </c>
      <c r="N75" s="84"/>
      <c r="O75" s="181"/>
      <c r="P75" s="37"/>
      <c r="Q75" s="134"/>
      <c r="R75" s="596">
        <f t="shared" si="3"/>
        <v>0</v>
      </c>
    </row>
    <row r="76" spans="1:18" ht="12.75">
      <c r="A76" s="713"/>
      <c r="B76" s="764"/>
      <c r="C76" s="204" t="s">
        <v>391</v>
      </c>
      <c r="D76" s="375"/>
      <c r="E76" s="375"/>
      <c r="F76" s="375"/>
      <c r="G76" s="375"/>
      <c r="H76" s="376"/>
      <c r="I76" s="377"/>
      <c r="J76" s="264"/>
      <c r="K76" s="24"/>
      <c r="L76" s="21"/>
      <c r="M76" s="105">
        <v>0</v>
      </c>
      <c r="N76" s="21"/>
      <c r="O76" s="105">
        <v>1918.03</v>
      </c>
      <c r="P76" s="39"/>
      <c r="Q76" s="101"/>
      <c r="R76" s="119">
        <f t="shared" si="3"/>
        <v>0</v>
      </c>
    </row>
    <row r="77" spans="1:18" ht="12.75">
      <c r="A77" s="713"/>
      <c r="B77" s="764"/>
      <c r="C77" s="204" t="s">
        <v>457</v>
      </c>
      <c r="D77" s="375"/>
      <c r="E77" s="375"/>
      <c r="F77" s="375"/>
      <c r="G77" s="375"/>
      <c r="H77" s="376"/>
      <c r="I77" s="377"/>
      <c r="J77" s="264"/>
      <c r="K77" s="24"/>
      <c r="L77" s="21"/>
      <c r="M77" s="105">
        <v>0</v>
      </c>
      <c r="N77" s="21"/>
      <c r="O77" s="105">
        <v>11168.59</v>
      </c>
      <c r="P77" s="39"/>
      <c r="Q77" s="101"/>
      <c r="R77" s="119">
        <f t="shared" si="3"/>
        <v>0</v>
      </c>
    </row>
    <row r="78" spans="1:18" ht="12.75">
      <c r="A78" s="713"/>
      <c r="B78" s="764"/>
      <c r="C78" s="204" t="s">
        <v>435</v>
      </c>
      <c r="D78" s="375"/>
      <c r="E78" s="375"/>
      <c r="F78" s="375"/>
      <c r="G78" s="375"/>
      <c r="H78" s="376"/>
      <c r="I78" s="377"/>
      <c r="J78" s="264"/>
      <c r="K78" s="24"/>
      <c r="L78" s="21"/>
      <c r="M78" s="105">
        <v>0</v>
      </c>
      <c r="N78" s="21"/>
      <c r="O78" s="105">
        <v>4800</v>
      </c>
      <c r="P78" s="39">
        <v>0</v>
      </c>
      <c r="Q78" s="101"/>
      <c r="R78" s="119">
        <f t="shared" si="3"/>
        <v>0</v>
      </c>
    </row>
    <row r="79" spans="1:18" ht="12.75">
      <c r="A79" s="713"/>
      <c r="B79" s="764"/>
      <c r="C79" s="204" t="s">
        <v>392</v>
      </c>
      <c r="D79" s="375"/>
      <c r="E79" s="375"/>
      <c r="F79" s="375"/>
      <c r="G79" s="375"/>
      <c r="H79" s="376"/>
      <c r="I79" s="377"/>
      <c r="J79" s="264"/>
      <c r="K79" s="24"/>
      <c r="L79" s="21"/>
      <c r="M79" s="105">
        <v>0</v>
      </c>
      <c r="N79" s="24"/>
      <c r="O79" s="101">
        <v>23440.12</v>
      </c>
      <c r="P79" s="39">
        <v>0</v>
      </c>
      <c r="Q79" s="101"/>
      <c r="R79" s="119">
        <f t="shared" si="3"/>
        <v>0</v>
      </c>
    </row>
    <row r="80" spans="1:18" ht="12.75">
      <c r="A80" s="713"/>
      <c r="B80" s="764"/>
      <c r="C80" s="378" t="s">
        <v>393</v>
      </c>
      <c r="D80" s="379"/>
      <c r="E80" s="379"/>
      <c r="F80" s="379"/>
      <c r="G80" s="379"/>
      <c r="H80" s="380"/>
      <c r="I80" s="381"/>
      <c r="J80" s="382"/>
      <c r="K80" s="27"/>
      <c r="L80" s="62"/>
      <c r="M80" s="103">
        <v>0</v>
      </c>
      <c r="N80" s="24"/>
      <c r="O80" s="101">
        <v>6630</v>
      </c>
      <c r="P80" s="39">
        <v>0</v>
      </c>
      <c r="Q80" s="101"/>
      <c r="R80" s="119">
        <f t="shared" si="3"/>
        <v>0</v>
      </c>
    </row>
    <row r="81" spans="1:18" ht="12.75">
      <c r="A81" s="713"/>
      <c r="B81" s="764"/>
      <c r="C81" s="383" t="s">
        <v>353</v>
      </c>
      <c r="D81" s="384"/>
      <c r="E81" s="384"/>
      <c r="F81" s="384"/>
      <c r="G81" s="384"/>
      <c r="H81" s="385"/>
      <c r="I81" s="386"/>
      <c r="J81" s="387"/>
      <c r="K81" s="27"/>
      <c r="L81" s="62"/>
      <c r="M81" s="103">
        <v>0</v>
      </c>
      <c r="N81" s="24"/>
      <c r="O81" s="101">
        <v>12719.02</v>
      </c>
      <c r="P81" s="39">
        <v>0</v>
      </c>
      <c r="Q81" s="101"/>
      <c r="R81" s="119">
        <f t="shared" si="3"/>
        <v>0</v>
      </c>
    </row>
    <row r="82" spans="1:18" ht="12.75">
      <c r="A82" s="713"/>
      <c r="B82" s="764"/>
      <c r="C82" s="204" t="s">
        <v>466</v>
      </c>
      <c r="D82" s="384"/>
      <c r="E82" s="384"/>
      <c r="F82" s="384"/>
      <c r="G82" s="384"/>
      <c r="H82" s="385"/>
      <c r="I82" s="386"/>
      <c r="J82" s="387"/>
      <c r="K82" s="27"/>
      <c r="L82" s="62"/>
      <c r="M82" s="103">
        <v>0</v>
      </c>
      <c r="N82" s="24"/>
      <c r="O82" s="101"/>
      <c r="P82" s="39">
        <v>7738</v>
      </c>
      <c r="Q82" s="101">
        <v>7737.5</v>
      </c>
      <c r="R82" s="119">
        <f t="shared" si="3"/>
        <v>99.99353838201085</v>
      </c>
    </row>
    <row r="83" spans="1:18" ht="12.75" hidden="1">
      <c r="A83" s="713"/>
      <c r="B83" s="764"/>
      <c r="C83" s="38" t="s">
        <v>41</v>
      </c>
      <c r="D83" s="24"/>
      <c r="E83" s="24"/>
      <c r="F83" s="24"/>
      <c r="G83" s="24"/>
      <c r="H83" s="52"/>
      <c r="I83" s="336"/>
      <c r="J83" s="337"/>
      <c r="K83" s="24"/>
      <c r="L83" s="24"/>
      <c r="M83" s="183">
        <v>0</v>
      </c>
      <c r="N83" s="24"/>
      <c r="O83" s="101"/>
      <c r="P83" s="39">
        <v>0</v>
      </c>
      <c r="Q83" s="101"/>
      <c r="R83" s="119">
        <f t="shared" si="3"/>
        <v>0</v>
      </c>
    </row>
    <row r="84" spans="1:18" ht="12.75" hidden="1">
      <c r="A84" s="713"/>
      <c r="B84" s="764"/>
      <c r="C84" s="38" t="s">
        <v>42</v>
      </c>
      <c r="D84" s="24"/>
      <c r="E84" s="24"/>
      <c r="F84" s="24"/>
      <c r="G84" s="24"/>
      <c r="H84" s="52"/>
      <c r="I84" s="336"/>
      <c r="J84" s="337"/>
      <c r="K84" s="24">
        <v>7632</v>
      </c>
      <c r="L84" s="24"/>
      <c r="M84" s="183">
        <v>0</v>
      </c>
      <c r="N84" s="24"/>
      <c r="O84" s="101"/>
      <c r="P84" s="39">
        <v>0</v>
      </c>
      <c r="Q84" s="101"/>
      <c r="R84" s="119">
        <f t="shared" si="3"/>
        <v>0</v>
      </c>
    </row>
    <row r="85" spans="1:18" ht="12.75">
      <c r="A85" s="713"/>
      <c r="B85" s="764"/>
      <c r="C85" s="38" t="s">
        <v>425</v>
      </c>
      <c r="D85" s="24"/>
      <c r="E85" s="24"/>
      <c r="F85" s="24"/>
      <c r="G85" s="24"/>
      <c r="H85" s="52"/>
      <c r="I85" s="336"/>
      <c r="J85" s="337"/>
      <c r="K85" s="24"/>
      <c r="L85" s="24"/>
      <c r="M85" s="183"/>
      <c r="N85" s="24"/>
      <c r="O85" s="101"/>
      <c r="P85" s="39">
        <v>6000</v>
      </c>
      <c r="Q85" s="101">
        <v>4919.27</v>
      </c>
      <c r="R85" s="119">
        <f t="shared" si="3"/>
        <v>81.98783333333334</v>
      </c>
    </row>
    <row r="86" spans="1:18" ht="12.75" hidden="1">
      <c r="A86" s="713"/>
      <c r="B86" s="764"/>
      <c r="C86" s="38" t="s">
        <v>221</v>
      </c>
      <c r="D86" s="24"/>
      <c r="E86" s="24"/>
      <c r="F86" s="24"/>
      <c r="G86" s="24"/>
      <c r="H86" s="52"/>
      <c r="I86" s="336"/>
      <c r="J86" s="337"/>
      <c r="K86" s="24"/>
      <c r="L86" s="24"/>
      <c r="M86" s="183">
        <v>0</v>
      </c>
      <c r="N86" s="24">
        <v>11867.59</v>
      </c>
      <c r="O86" s="101"/>
      <c r="P86" s="39">
        <v>0</v>
      </c>
      <c r="Q86" s="101"/>
      <c r="R86" s="119">
        <f t="shared" si="3"/>
        <v>0</v>
      </c>
    </row>
    <row r="87" spans="1:18" ht="12.75" hidden="1">
      <c r="A87" s="713"/>
      <c r="B87" s="764"/>
      <c r="C87" s="38" t="s">
        <v>387</v>
      </c>
      <c r="D87" s="24"/>
      <c r="E87" s="24"/>
      <c r="F87" s="24"/>
      <c r="G87" s="24"/>
      <c r="H87" s="52"/>
      <c r="I87" s="336"/>
      <c r="J87" s="337"/>
      <c r="K87" s="24">
        <v>0</v>
      </c>
      <c r="L87" s="24"/>
      <c r="M87" s="183">
        <v>0</v>
      </c>
      <c r="N87" s="24"/>
      <c r="O87" s="183"/>
      <c r="P87" s="39">
        <v>0</v>
      </c>
      <c r="Q87" s="101"/>
      <c r="R87" s="119">
        <f t="shared" si="3"/>
        <v>0</v>
      </c>
    </row>
    <row r="88" spans="1:18" ht="12.75" hidden="1">
      <c r="A88" s="713"/>
      <c r="B88" s="764"/>
      <c r="C88" s="38" t="s">
        <v>43</v>
      </c>
      <c r="D88" s="24"/>
      <c r="E88" s="24"/>
      <c r="F88" s="24"/>
      <c r="G88" s="24"/>
      <c r="H88" s="52"/>
      <c r="I88" s="336"/>
      <c r="J88" s="337"/>
      <c r="K88" s="24">
        <v>0</v>
      </c>
      <c r="L88" s="24">
        <v>1302435.64</v>
      </c>
      <c r="M88" s="183">
        <v>95467.84</v>
      </c>
      <c r="N88" s="24"/>
      <c r="O88" s="183"/>
      <c r="P88" s="39">
        <v>0</v>
      </c>
      <c r="Q88" s="101"/>
      <c r="R88" s="119">
        <f t="shared" si="3"/>
        <v>0</v>
      </c>
    </row>
    <row r="89" spans="1:18" ht="12.75" hidden="1">
      <c r="A89" s="713"/>
      <c r="B89" s="764"/>
      <c r="C89" s="38" t="s">
        <v>44</v>
      </c>
      <c r="D89" s="24"/>
      <c r="E89" s="24"/>
      <c r="F89" s="24"/>
      <c r="G89" s="24"/>
      <c r="H89" s="52"/>
      <c r="I89" s="336"/>
      <c r="J89" s="337"/>
      <c r="K89" s="24"/>
      <c r="L89" s="24"/>
      <c r="M89" s="183">
        <v>38905.74</v>
      </c>
      <c r="N89" s="24"/>
      <c r="O89" s="183"/>
      <c r="P89" s="39">
        <v>0</v>
      </c>
      <c r="Q89" s="101"/>
      <c r="R89" s="119">
        <f t="shared" si="3"/>
        <v>0</v>
      </c>
    </row>
    <row r="90" spans="1:18" ht="12.75" hidden="1">
      <c r="A90" s="713"/>
      <c r="B90" s="764"/>
      <c r="C90" s="38" t="s">
        <v>45</v>
      </c>
      <c r="D90" s="24"/>
      <c r="E90" s="24"/>
      <c r="F90" s="24"/>
      <c r="G90" s="24"/>
      <c r="H90" s="52"/>
      <c r="I90" s="336"/>
      <c r="J90" s="337"/>
      <c r="K90" s="24"/>
      <c r="L90" s="24"/>
      <c r="M90" s="183">
        <v>0</v>
      </c>
      <c r="N90" s="24"/>
      <c r="O90" s="183"/>
      <c r="P90" s="39">
        <v>0</v>
      </c>
      <c r="Q90" s="101"/>
      <c r="R90" s="119">
        <f t="shared" si="3"/>
        <v>0</v>
      </c>
    </row>
    <row r="91" spans="1:18" ht="12.75" hidden="1">
      <c r="A91" s="713"/>
      <c r="B91" s="764"/>
      <c r="C91" s="38" t="s">
        <v>46</v>
      </c>
      <c r="D91" s="24"/>
      <c r="E91" s="24"/>
      <c r="F91" s="24"/>
      <c r="G91" s="24"/>
      <c r="H91" s="52"/>
      <c r="I91" s="336"/>
      <c r="J91" s="337"/>
      <c r="K91" s="24"/>
      <c r="L91" s="24"/>
      <c r="M91" s="183">
        <v>0</v>
      </c>
      <c r="N91" s="24"/>
      <c r="O91" s="183"/>
      <c r="P91" s="39">
        <v>0</v>
      </c>
      <c r="Q91" s="101"/>
      <c r="R91" s="119">
        <f t="shared" si="3"/>
        <v>0</v>
      </c>
    </row>
    <row r="92" spans="1:18" ht="12.75" hidden="1">
      <c r="A92" s="713"/>
      <c r="B92" s="764"/>
      <c r="C92" s="38" t="s">
        <v>47</v>
      </c>
      <c r="D92" s="24"/>
      <c r="E92" s="24"/>
      <c r="F92" s="24"/>
      <c r="G92" s="24"/>
      <c r="H92" s="52"/>
      <c r="I92" s="336"/>
      <c r="J92" s="337"/>
      <c r="K92" s="24">
        <v>8090</v>
      </c>
      <c r="L92" s="24"/>
      <c r="M92" s="183">
        <v>0</v>
      </c>
      <c r="N92" s="24"/>
      <c r="O92" s="183"/>
      <c r="P92" s="39">
        <v>0</v>
      </c>
      <c r="Q92" s="101"/>
      <c r="R92" s="119">
        <f t="shared" si="3"/>
        <v>0</v>
      </c>
    </row>
    <row r="93" spans="1:18" ht="12.75" hidden="1">
      <c r="A93" s="713"/>
      <c r="B93" s="764"/>
      <c r="C93" s="38" t="s">
        <v>353</v>
      </c>
      <c r="D93" s="24"/>
      <c r="E93" s="24"/>
      <c r="F93" s="24"/>
      <c r="G93" s="24"/>
      <c r="H93" s="52"/>
      <c r="I93" s="336"/>
      <c r="J93" s="337"/>
      <c r="K93" s="24"/>
      <c r="L93" s="24"/>
      <c r="M93" s="183"/>
      <c r="N93" s="24">
        <v>8453.97</v>
      </c>
      <c r="O93" s="183"/>
      <c r="P93" s="39">
        <v>0</v>
      </c>
      <c r="Q93" s="101"/>
      <c r="R93" s="119">
        <f t="shared" si="3"/>
        <v>0</v>
      </c>
    </row>
    <row r="94" spans="1:18" ht="12.75" hidden="1">
      <c r="A94" s="713"/>
      <c r="B94" s="764"/>
      <c r="C94" s="38" t="s">
        <v>354</v>
      </c>
      <c r="D94" s="27"/>
      <c r="E94" s="27"/>
      <c r="F94" s="27"/>
      <c r="G94" s="27"/>
      <c r="H94" s="59"/>
      <c r="I94" s="338"/>
      <c r="J94" s="339"/>
      <c r="K94" s="27"/>
      <c r="L94" s="27"/>
      <c r="M94" s="201"/>
      <c r="N94" s="27">
        <v>24292.65</v>
      </c>
      <c r="O94" s="201"/>
      <c r="P94" s="39">
        <v>0</v>
      </c>
      <c r="Q94" s="101"/>
      <c r="R94" s="119">
        <f t="shared" si="3"/>
        <v>0</v>
      </c>
    </row>
    <row r="95" spans="1:23" ht="13.5" thickBot="1">
      <c r="A95" s="711"/>
      <c r="B95" s="765"/>
      <c r="C95" s="102" t="s">
        <v>40</v>
      </c>
      <c r="D95" s="43"/>
      <c r="E95" s="43"/>
      <c r="F95" s="43"/>
      <c r="G95" s="43"/>
      <c r="H95" s="53"/>
      <c r="I95" s="366"/>
      <c r="J95" s="367"/>
      <c r="K95" s="43">
        <v>476</v>
      </c>
      <c r="L95" s="43">
        <v>3000</v>
      </c>
      <c r="M95" s="230">
        <v>3545</v>
      </c>
      <c r="N95" s="43"/>
      <c r="O95" s="230"/>
      <c r="P95" s="54">
        <v>27040</v>
      </c>
      <c r="Q95" s="279">
        <v>42118.73</v>
      </c>
      <c r="R95" s="602">
        <f t="shared" si="3"/>
        <v>155.76453402366866</v>
      </c>
      <c r="T95" s="539"/>
      <c r="W95" s="539"/>
    </row>
    <row r="96" spans="1:18" ht="13.5" thickBot="1">
      <c r="A96" s="563" t="s">
        <v>468</v>
      </c>
      <c r="B96" s="777" t="s">
        <v>469</v>
      </c>
      <c r="C96" s="778"/>
      <c r="D96" s="557"/>
      <c r="E96" s="557"/>
      <c r="F96" s="557"/>
      <c r="G96" s="557"/>
      <c r="H96" s="558"/>
      <c r="I96" s="559"/>
      <c r="J96" s="560"/>
      <c r="K96" s="68"/>
      <c r="L96" s="68"/>
      <c r="M96" s="189"/>
      <c r="N96" s="68"/>
      <c r="O96" s="189"/>
      <c r="P96" s="188">
        <v>5000</v>
      </c>
      <c r="Q96" s="308">
        <f>Q97</f>
        <v>5880</v>
      </c>
      <c r="R96" s="597">
        <f t="shared" si="3"/>
        <v>117.6</v>
      </c>
    </row>
    <row r="97" spans="1:18" ht="13.5" thickBot="1">
      <c r="A97" s="555"/>
      <c r="B97" s="556"/>
      <c r="C97" s="238" t="s">
        <v>470</v>
      </c>
      <c r="D97" s="557"/>
      <c r="E97" s="557"/>
      <c r="F97" s="557"/>
      <c r="G97" s="557"/>
      <c r="H97" s="558"/>
      <c r="I97" s="559"/>
      <c r="J97" s="560"/>
      <c r="K97" s="68"/>
      <c r="L97" s="68"/>
      <c r="M97" s="189"/>
      <c r="N97" s="68"/>
      <c r="O97" s="189"/>
      <c r="P97" s="188">
        <v>5000</v>
      </c>
      <c r="Q97" s="308">
        <v>5880</v>
      </c>
      <c r="R97" s="570">
        <f t="shared" si="3"/>
        <v>117.6</v>
      </c>
    </row>
    <row r="98" spans="1:18" ht="15.75" hidden="1" thickBot="1">
      <c r="A98" s="268" t="s">
        <v>48</v>
      </c>
      <c r="B98" s="705" t="s">
        <v>0</v>
      </c>
      <c r="C98" s="706"/>
      <c r="D98" s="388"/>
      <c r="E98" s="388"/>
      <c r="F98" s="388"/>
      <c r="G98" s="388"/>
      <c r="H98" s="243"/>
      <c r="I98" s="389"/>
      <c r="J98" s="390"/>
      <c r="K98" s="368"/>
      <c r="L98" s="368"/>
      <c r="M98" s="368"/>
      <c r="N98" s="368"/>
      <c r="O98" s="546"/>
      <c r="P98" s="69"/>
      <c r="Q98" s="70">
        <f>IF(O98=0,0,P98/O98)</f>
        <v>0</v>
      </c>
      <c r="R98" s="572">
        <f t="shared" si="3"/>
        <v>0</v>
      </c>
    </row>
    <row r="99" spans="1:18" ht="13.5" hidden="1" thickBot="1">
      <c r="A99" s="333"/>
      <c r="B99" s="335"/>
      <c r="C99" s="38" t="s">
        <v>49</v>
      </c>
      <c r="D99" s="24"/>
      <c r="E99" s="24"/>
      <c r="F99" s="24"/>
      <c r="G99" s="24"/>
      <c r="H99" s="52"/>
      <c r="I99" s="336"/>
      <c r="J99" s="337"/>
      <c r="K99" s="24"/>
      <c r="L99" s="24"/>
      <c r="M99" s="24"/>
      <c r="N99" s="24"/>
      <c r="O99" s="183"/>
      <c r="P99" s="39"/>
      <c r="Q99" s="101">
        <f>IF(O99=0,0,P99/O99)</f>
        <v>0</v>
      </c>
      <c r="R99" s="119">
        <f t="shared" si="3"/>
        <v>0</v>
      </c>
    </row>
    <row r="100" spans="1:18" ht="13.5" hidden="1" thickBot="1">
      <c r="A100" s="333"/>
      <c r="B100" s="335"/>
      <c r="C100" s="38"/>
      <c r="D100" s="24"/>
      <c r="E100" s="24"/>
      <c r="F100" s="24"/>
      <c r="G100" s="24"/>
      <c r="H100" s="52"/>
      <c r="I100" s="336"/>
      <c r="J100" s="337"/>
      <c r="K100" s="24"/>
      <c r="L100" s="24"/>
      <c r="M100" s="24"/>
      <c r="N100" s="24"/>
      <c r="O100" s="183"/>
      <c r="P100" s="39"/>
      <c r="Q100" s="101">
        <f>IF(O100=0,0,P100/O100)</f>
        <v>0</v>
      </c>
      <c r="R100" s="119">
        <f t="shared" si="3"/>
        <v>0</v>
      </c>
    </row>
    <row r="101" spans="1:18" ht="13.5" hidden="1" thickBot="1">
      <c r="A101" s="333"/>
      <c r="B101" s="335"/>
      <c r="C101" s="42"/>
      <c r="D101" s="27"/>
      <c r="E101" s="27"/>
      <c r="F101" s="27"/>
      <c r="G101" s="27"/>
      <c r="H101" s="59"/>
      <c r="I101" s="338"/>
      <c r="J101" s="339"/>
      <c r="K101" s="27"/>
      <c r="L101" s="27"/>
      <c r="M101" s="27"/>
      <c r="N101" s="27"/>
      <c r="O101" s="201"/>
      <c r="P101" s="65"/>
      <c r="Q101" s="229">
        <f>IF(O101=0,0,P101/O101)</f>
        <v>0</v>
      </c>
      <c r="R101" s="585">
        <f t="shared" si="3"/>
        <v>0</v>
      </c>
    </row>
    <row r="102" spans="1:20" ht="15.75" thickBot="1">
      <c r="A102" s="334" t="s">
        <v>237</v>
      </c>
      <c r="B102" s="762" t="s">
        <v>238</v>
      </c>
      <c r="C102" s="762"/>
      <c r="D102" s="212">
        <v>8298</v>
      </c>
      <c r="E102" s="212">
        <v>3983</v>
      </c>
      <c r="F102" s="212">
        <v>175065</v>
      </c>
      <c r="G102" s="212">
        <v>138049</v>
      </c>
      <c r="H102" s="212">
        <v>127764</v>
      </c>
      <c r="I102" s="121">
        <v>149292</v>
      </c>
      <c r="J102" s="212">
        <v>3000</v>
      </c>
      <c r="K102" s="60">
        <f>SUM(K107:K109)</f>
        <v>6455</v>
      </c>
      <c r="L102" s="60">
        <f aca="true" t="shared" si="6" ref="L102:Q102">SUM(L103:L109)</f>
        <v>131475.39</v>
      </c>
      <c r="M102" s="192">
        <f t="shared" si="6"/>
        <v>1775474.1500000001</v>
      </c>
      <c r="N102" s="60">
        <f t="shared" si="6"/>
        <v>12967.75</v>
      </c>
      <c r="O102" s="192">
        <f t="shared" si="6"/>
        <v>2000</v>
      </c>
      <c r="P102" s="60">
        <f t="shared" si="6"/>
        <v>147299</v>
      </c>
      <c r="Q102" s="192">
        <f t="shared" si="6"/>
        <v>138793.75</v>
      </c>
      <c r="R102" s="566">
        <f t="shared" si="3"/>
        <v>94.22586032491735</v>
      </c>
      <c r="T102" s="488"/>
    </row>
    <row r="103" spans="1:18" ht="12.75" hidden="1">
      <c r="A103" s="708"/>
      <c r="B103" s="771"/>
      <c r="C103" s="352" t="s">
        <v>207</v>
      </c>
      <c r="D103" s="391"/>
      <c r="E103" s="391"/>
      <c r="F103" s="391"/>
      <c r="G103" s="391"/>
      <c r="H103" s="392"/>
      <c r="I103" s="393"/>
      <c r="J103" s="394"/>
      <c r="K103" s="126"/>
      <c r="L103" s="126">
        <v>123141.28</v>
      </c>
      <c r="M103" s="195">
        <v>1602434.8900000001</v>
      </c>
      <c r="N103" s="126">
        <v>7569.59</v>
      </c>
      <c r="O103" s="195"/>
      <c r="P103" s="77"/>
      <c r="Q103" s="356"/>
      <c r="R103" s="603">
        <f t="shared" si="3"/>
        <v>0</v>
      </c>
    </row>
    <row r="104" spans="1:18" ht="12.75">
      <c r="A104" s="712"/>
      <c r="B104" s="772"/>
      <c r="C104" s="357" t="s">
        <v>433</v>
      </c>
      <c r="D104" s="395"/>
      <c r="E104" s="395"/>
      <c r="F104" s="395"/>
      <c r="G104" s="395"/>
      <c r="H104" s="396"/>
      <c r="I104" s="397"/>
      <c r="J104" s="398"/>
      <c r="K104" s="20"/>
      <c r="L104" s="20"/>
      <c r="M104" s="115">
        <v>18092.39</v>
      </c>
      <c r="N104" s="20">
        <v>3400</v>
      </c>
      <c r="O104" s="115">
        <v>2000</v>
      </c>
      <c r="P104" s="79">
        <v>29400</v>
      </c>
      <c r="Q104" s="437">
        <v>28708.31</v>
      </c>
      <c r="R104" s="599">
        <f t="shared" si="3"/>
        <v>97.64731292517007</v>
      </c>
    </row>
    <row r="105" spans="1:18" ht="12.75">
      <c r="A105" s="712"/>
      <c r="B105" s="772"/>
      <c r="C105" s="357" t="s">
        <v>426</v>
      </c>
      <c r="D105" s="395"/>
      <c r="E105" s="395"/>
      <c r="F105" s="395"/>
      <c r="G105" s="395"/>
      <c r="H105" s="396"/>
      <c r="I105" s="397"/>
      <c r="J105" s="398"/>
      <c r="K105" s="20"/>
      <c r="L105" s="20"/>
      <c r="M105" s="115">
        <v>16624.5</v>
      </c>
      <c r="N105" s="20"/>
      <c r="O105" s="115"/>
      <c r="P105" s="79">
        <v>117899</v>
      </c>
      <c r="Q105" s="437">
        <v>110085.44</v>
      </c>
      <c r="R105" s="599">
        <f t="shared" si="3"/>
        <v>93.37266643482981</v>
      </c>
    </row>
    <row r="106" spans="1:18" ht="12.75" hidden="1">
      <c r="A106" s="712"/>
      <c r="B106" s="772"/>
      <c r="C106" s="357" t="s">
        <v>50</v>
      </c>
      <c r="D106" s="395"/>
      <c r="E106" s="395"/>
      <c r="F106" s="395"/>
      <c r="G106" s="395"/>
      <c r="H106" s="396"/>
      <c r="I106" s="397"/>
      <c r="J106" s="398"/>
      <c r="K106" s="20"/>
      <c r="L106" s="20"/>
      <c r="M106" s="115">
        <v>120000</v>
      </c>
      <c r="N106" s="20"/>
      <c r="O106" s="115"/>
      <c r="P106" s="79"/>
      <c r="Q106" s="437"/>
      <c r="R106" s="599">
        <f t="shared" si="3"/>
        <v>0</v>
      </c>
    </row>
    <row r="107" spans="1:18" ht="12.75" hidden="1">
      <c r="A107" s="712"/>
      <c r="B107" s="772"/>
      <c r="C107" s="63" t="s">
        <v>51</v>
      </c>
      <c r="D107" s="21"/>
      <c r="E107" s="21"/>
      <c r="F107" s="21"/>
      <c r="G107" s="21"/>
      <c r="H107" s="50"/>
      <c r="I107" s="344"/>
      <c r="J107" s="345"/>
      <c r="K107" s="21">
        <v>6455</v>
      </c>
      <c r="L107" s="21"/>
      <c r="M107" s="105">
        <v>14992.37</v>
      </c>
      <c r="N107" s="21"/>
      <c r="O107" s="105"/>
      <c r="P107" s="51"/>
      <c r="Q107" s="64"/>
      <c r="R107" s="127">
        <f t="shared" si="3"/>
        <v>0</v>
      </c>
    </row>
    <row r="108" spans="1:18" ht="12.75" hidden="1">
      <c r="A108" s="712"/>
      <c r="B108" s="772"/>
      <c r="C108" s="128" t="s">
        <v>52</v>
      </c>
      <c r="D108" s="62"/>
      <c r="E108" s="62"/>
      <c r="F108" s="62"/>
      <c r="G108" s="62"/>
      <c r="H108" s="61"/>
      <c r="I108" s="346"/>
      <c r="J108" s="347"/>
      <c r="K108" s="62"/>
      <c r="L108" s="39"/>
      <c r="M108" s="183"/>
      <c r="N108" s="21"/>
      <c r="O108" s="105"/>
      <c r="P108" s="51"/>
      <c r="Q108" s="64"/>
      <c r="R108" s="127">
        <f t="shared" si="3"/>
        <v>0</v>
      </c>
    </row>
    <row r="109" spans="1:18" ht="13.5" thickBot="1">
      <c r="A109" s="709"/>
      <c r="B109" s="773"/>
      <c r="C109" s="41" t="s">
        <v>53</v>
      </c>
      <c r="D109" s="43"/>
      <c r="E109" s="43"/>
      <c r="F109" s="43"/>
      <c r="G109" s="43"/>
      <c r="H109" s="53"/>
      <c r="I109" s="366"/>
      <c r="J109" s="367"/>
      <c r="K109" s="43"/>
      <c r="L109" s="68">
        <v>8334.11</v>
      </c>
      <c r="M109" s="189">
        <v>3330</v>
      </c>
      <c r="N109" s="68">
        <v>1998.16</v>
      </c>
      <c r="O109" s="189"/>
      <c r="P109" s="188"/>
      <c r="Q109" s="308"/>
      <c r="R109" s="597">
        <f t="shared" si="3"/>
        <v>0</v>
      </c>
    </row>
    <row r="110" spans="1:18" ht="15.75" thickBot="1">
      <c r="A110" s="334" t="s">
        <v>70</v>
      </c>
      <c r="B110" s="762" t="s">
        <v>89</v>
      </c>
      <c r="C110" s="762"/>
      <c r="D110" s="212"/>
      <c r="E110" s="212">
        <v>22472</v>
      </c>
      <c r="F110" s="212">
        <v>20713</v>
      </c>
      <c r="G110" s="212">
        <v>11074</v>
      </c>
      <c r="H110" s="212">
        <v>15914</v>
      </c>
      <c r="I110" s="121">
        <v>116842</v>
      </c>
      <c r="J110" s="212">
        <v>38905</v>
      </c>
      <c r="K110" s="60">
        <f aca="true" t="shared" si="7" ref="K110:Q110">SUM(K111:K116)</f>
        <v>15848</v>
      </c>
      <c r="L110" s="60">
        <f t="shared" si="7"/>
        <v>26915.190000000002</v>
      </c>
      <c r="M110" s="192">
        <f t="shared" si="7"/>
        <v>9771.24</v>
      </c>
      <c r="N110" s="60">
        <f t="shared" si="7"/>
        <v>62531.63</v>
      </c>
      <c r="O110" s="192">
        <f t="shared" si="7"/>
        <v>193266.02</v>
      </c>
      <c r="P110" s="60">
        <f t="shared" si="7"/>
        <v>5000</v>
      </c>
      <c r="Q110" s="192">
        <f t="shared" si="7"/>
        <v>3920.81</v>
      </c>
      <c r="R110" s="566">
        <f t="shared" si="3"/>
        <v>78.4162</v>
      </c>
    </row>
    <row r="111" spans="1:18" ht="13.5" customHeight="1">
      <c r="A111" s="710"/>
      <c r="B111" s="763"/>
      <c r="C111" s="36" t="s">
        <v>54</v>
      </c>
      <c r="D111" s="84"/>
      <c r="E111" s="84"/>
      <c r="F111" s="84"/>
      <c r="G111" s="84"/>
      <c r="H111" s="49"/>
      <c r="I111" s="342"/>
      <c r="J111" s="343"/>
      <c r="K111" s="84">
        <v>7000</v>
      </c>
      <c r="L111" s="84">
        <v>16662.2</v>
      </c>
      <c r="M111" s="181"/>
      <c r="N111" s="84"/>
      <c r="O111" s="181">
        <v>6422.99</v>
      </c>
      <c r="P111" s="37">
        <v>5000</v>
      </c>
      <c r="Q111" s="134">
        <v>3920.81</v>
      </c>
      <c r="R111" s="596">
        <f t="shared" si="3"/>
        <v>78.4162</v>
      </c>
    </row>
    <row r="112" spans="1:18" ht="13.5" customHeight="1">
      <c r="A112" s="713"/>
      <c r="B112" s="764"/>
      <c r="C112" s="38" t="s">
        <v>355</v>
      </c>
      <c r="D112" s="24"/>
      <c r="E112" s="24"/>
      <c r="F112" s="24"/>
      <c r="G112" s="24"/>
      <c r="H112" s="52"/>
      <c r="I112" s="336"/>
      <c r="J112" s="337"/>
      <c r="K112" s="24"/>
      <c r="L112" s="24"/>
      <c r="M112" s="183"/>
      <c r="N112" s="24">
        <v>62531.63</v>
      </c>
      <c r="O112" s="183">
        <v>3843.62</v>
      </c>
      <c r="P112" s="39"/>
      <c r="Q112" s="64"/>
      <c r="R112" s="127">
        <f t="shared" si="3"/>
        <v>0</v>
      </c>
    </row>
    <row r="113" spans="1:18" ht="13.5" customHeight="1">
      <c r="A113" s="713"/>
      <c r="B113" s="764"/>
      <c r="C113" s="38" t="s">
        <v>394</v>
      </c>
      <c r="D113" s="24"/>
      <c r="E113" s="24"/>
      <c r="F113" s="24"/>
      <c r="G113" s="24"/>
      <c r="H113" s="52"/>
      <c r="I113" s="336"/>
      <c r="J113" s="337"/>
      <c r="K113" s="24"/>
      <c r="L113" s="24"/>
      <c r="M113" s="183"/>
      <c r="N113" s="24"/>
      <c r="O113" s="183">
        <v>131640.01</v>
      </c>
      <c r="P113" s="39"/>
      <c r="Q113" s="101"/>
      <c r="R113" s="119">
        <f t="shared" si="3"/>
        <v>0</v>
      </c>
    </row>
    <row r="114" spans="1:18" ht="13.5" customHeight="1" thickBot="1">
      <c r="A114" s="713"/>
      <c r="B114" s="764"/>
      <c r="C114" s="38" t="s">
        <v>395</v>
      </c>
      <c r="D114" s="24"/>
      <c r="E114" s="24"/>
      <c r="F114" s="24"/>
      <c r="G114" s="24"/>
      <c r="H114" s="52"/>
      <c r="I114" s="336"/>
      <c r="J114" s="337"/>
      <c r="K114" s="24"/>
      <c r="L114" s="24"/>
      <c r="M114" s="183"/>
      <c r="N114" s="24"/>
      <c r="O114" s="183">
        <v>51359.4</v>
      </c>
      <c r="P114" s="39"/>
      <c r="Q114" s="101"/>
      <c r="R114" s="119">
        <f t="shared" si="3"/>
        <v>0</v>
      </c>
    </row>
    <row r="115" spans="1:18" ht="13.5" hidden="1" thickBot="1">
      <c r="A115" s="713"/>
      <c r="B115" s="764"/>
      <c r="C115" s="41" t="s">
        <v>458</v>
      </c>
      <c r="D115" s="43"/>
      <c r="E115" s="43"/>
      <c r="F115" s="43"/>
      <c r="G115" s="43"/>
      <c r="H115" s="53"/>
      <c r="I115" s="366"/>
      <c r="J115" s="367"/>
      <c r="K115" s="43"/>
      <c r="L115" s="43"/>
      <c r="M115" s="230">
        <v>9771.24</v>
      </c>
      <c r="N115" s="43"/>
      <c r="O115" s="230"/>
      <c r="P115" s="253"/>
      <c r="Q115" s="509">
        <f>IF(O115=0,0,P115/O115)</f>
        <v>0</v>
      </c>
      <c r="R115" s="604">
        <f t="shared" si="3"/>
        <v>0</v>
      </c>
    </row>
    <row r="116" spans="1:18" ht="13.5" hidden="1" thickBot="1">
      <c r="A116" s="711"/>
      <c r="B116" s="765"/>
      <c r="C116" s="102" t="s">
        <v>55</v>
      </c>
      <c r="D116" s="68"/>
      <c r="E116" s="68"/>
      <c r="F116" s="68"/>
      <c r="G116" s="68"/>
      <c r="H116" s="67"/>
      <c r="I116" s="507"/>
      <c r="J116" s="508"/>
      <c r="K116" s="68">
        <v>8848</v>
      </c>
      <c r="L116" s="68">
        <v>10252.99</v>
      </c>
      <c r="M116" s="189"/>
      <c r="N116" s="68"/>
      <c r="O116" s="189"/>
      <c r="P116" s="188"/>
      <c r="Q116" s="308">
        <f>IF(O116=0,0,P116/O116)</f>
        <v>0</v>
      </c>
      <c r="R116" s="597">
        <f t="shared" si="3"/>
        <v>0</v>
      </c>
    </row>
    <row r="117" spans="1:18" ht="17.25" customHeight="1" thickBot="1">
      <c r="A117" s="334" t="s">
        <v>56</v>
      </c>
      <c r="B117" s="680" t="s">
        <v>2</v>
      </c>
      <c r="C117" s="681"/>
      <c r="D117" s="519"/>
      <c r="E117" s="519"/>
      <c r="F117" s="519"/>
      <c r="G117" s="519"/>
      <c r="H117" s="511"/>
      <c r="I117" s="520"/>
      <c r="J117" s="122"/>
      <c r="K117" s="94">
        <v>5500</v>
      </c>
      <c r="L117" s="94"/>
      <c r="M117" s="94">
        <f>M118</f>
        <v>0</v>
      </c>
      <c r="N117" s="94"/>
      <c r="O117" s="454">
        <v>10000</v>
      </c>
      <c r="P117" s="60">
        <f>P118</f>
        <v>2238</v>
      </c>
      <c r="Q117" s="192">
        <f>Q118</f>
        <v>2238</v>
      </c>
      <c r="R117" s="566">
        <f t="shared" si="3"/>
        <v>100</v>
      </c>
    </row>
    <row r="118" spans="1:18" ht="17.25" customHeight="1" thickBot="1">
      <c r="A118" s="333"/>
      <c r="B118" s="335"/>
      <c r="C118" s="102" t="s">
        <v>434</v>
      </c>
      <c r="D118" s="62"/>
      <c r="E118" s="62"/>
      <c r="F118" s="62"/>
      <c r="G118" s="62"/>
      <c r="H118" s="61"/>
      <c r="I118" s="346"/>
      <c r="J118" s="347"/>
      <c r="K118" s="62">
        <v>5500</v>
      </c>
      <c r="L118" s="62"/>
      <c r="M118" s="62"/>
      <c r="N118" s="62"/>
      <c r="O118" s="103">
        <v>10000</v>
      </c>
      <c r="P118" s="39">
        <v>2238</v>
      </c>
      <c r="Q118" s="101">
        <v>2238</v>
      </c>
      <c r="R118" s="119">
        <f t="shared" si="3"/>
        <v>100</v>
      </c>
    </row>
    <row r="119" spans="1:20" ht="17.25" customHeight="1" thickBot="1">
      <c r="A119" s="399" t="s">
        <v>6</v>
      </c>
      <c r="B119" s="776" t="s">
        <v>7</v>
      </c>
      <c r="C119" s="776"/>
      <c r="D119" s="212">
        <v>666567</v>
      </c>
      <c r="E119" s="212">
        <v>223164</v>
      </c>
      <c r="F119" s="212">
        <v>527019</v>
      </c>
      <c r="G119" s="212">
        <v>279677</v>
      </c>
      <c r="H119" s="212">
        <v>1160065</v>
      </c>
      <c r="I119" s="400">
        <v>2097438</v>
      </c>
      <c r="J119" s="212">
        <v>344577</v>
      </c>
      <c r="K119" s="60">
        <f aca="true" t="shared" si="8" ref="K119:P119">SUM(K120:K136)</f>
        <v>11076</v>
      </c>
      <c r="L119" s="60">
        <f t="shared" si="8"/>
        <v>22611.84</v>
      </c>
      <c r="M119" s="192">
        <f t="shared" si="8"/>
        <v>52135.36</v>
      </c>
      <c r="N119" s="60">
        <f t="shared" si="8"/>
        <v>60359.19</v>
      </c>
      <c r="O119" s="192">
        <f t="shared" si="8"/>
        <v>319793.29</v>
      </c>
      <c r="P119" s="60">
        <f t="shared" si="8"/>
        <v>753543</v>
      </c>
      <c r="Q119" s="192">
        <f>SUM(Q120:Q136)</f>
        <v>478985.9</v>
      </c>
      <c r="R119" s="566">
        <f t="shared" si="3"/>
        <v>63.564507931199685</v>
      </c>
      <c r="T119" s="488"/>
    </row>
    <row r="120" spans="1:18" ht="12.75" hidden="1">
      <c r="A120" s="710"/>
      <c r="B120" s="763"/>
      <c r="C120" s="38" t="s">
        <v>356</v>
      </c>
      <c r="D120" s="52"/>
      <c r="E120" s="52"/>
      <c r="F120" s="52"/>
      <c r="G120" s="52"/>
      <c r="H120" s="52"/>
      <c r="I120" s="336"/>
      <c r="J120" s="337"/>
      <c r="K120" s="24">
        <v>11076</v>
      </c>
      <c r="L120" s="21"/>
      <c r="M120" s="21"/>
      <c r="N120" s="21">
        <v>9779.19</v>
      </c>
      <c r="O120" s="105"/>
      <c r="P120" s="51"/>
      <c r="Q120" s="64"/>
      <c r="R120" s="127">
        <f t="shared" si="3"/>
        <v>0</v>
      </c>
    </row>
    <row r="121" spans="1:18" ht="12.75" hidden="1">
      <c r="A121" s="713"/>
      <c r="B121" s="764"/>
      <c r="C121" s="38" t="s">
        <v>357</v>
      </c>
      <c r="D121" s="52"/>
      <c r="E121" s="52"/>
      <c r="F121" s="52"/>
      <c r="G121" s="52"/>
      <c r="H121" s="52"/>
      <c r="I121" s="336"/>
      <c r="J121" s="337"/>
      <c r="K121" s="24"/>
      <c r="L121" s="21"/>
      <c r="M121" s="21"/>
      <c r="N121" s="21">
        <v>19000</v>
      </c>
      <c r="O121" s="105"/>
      <c r="P121" s="51"/>
      <c r="Q121" s="64"/>
      <c r="R121" s="127">
        <f t="shared" si="3"/>
        <v>0</v>
      </c>
    </row>
    <row r="122" spans="1:18" ht="12.75" hidden="1">
      <c r="A122" s="713"/>
      <c r="B122" s="764"/>
      <c r="C122" s="38" t="s">
        <v>388</v>
      </c>
      <c r="D122" s="52"/>
      <c r="E122" s="52"/>
      <c r="F122" s="52"/>
      <c r="G122" s="52"/>
      <c r="H122" s="52"/>
      <c r="I122" s="336"/>
      <c r="J122" s="337"/>
      <c r="K122" s="24"/>
      <c r="L122" s="21"/>
      <c r="M122" s="21"/>
      <c r="N122" s="21">
        <v>3480</v>
      </c>
      <c r="O122" s="105"/>
      <c r="P122" s="51"/>
      <c r="Q122" s="64"/>
      <c r="R122" s="127">
        <f t="shared" si="3"/>
        <v>0</v>
      </c>
    </row>
    <row r="123" spans="1:18" ht="12.75">
      <c r="A123" s="713"/>
      <c r="B123" s="764"/>
      <c r="C123" s="38" t="s">
        <v>388</v>
      </c>
      <c r="D123" s="52"/>
      <c r="E123" s="52"/>
      <c r="F123" s="52"/>
      <c r="G123" s="52"/>
      <c r="H123" s="52"/>
      <c r="I123" s="336"/>
      <c r="J123" s="337"/>
      <c r="K123" s="24"/>
      <c r="L123" s="21"/>
      <c r="M123" s="21"/>
      <c r="N123" s="21"/>
      <c r="O123" s="105">
        <v>2984</v>
      </c>
      <c r="P123" s="51">
        <v>0</v>
      </c>
      <c r="Q123" s="64"/>
      <c r="R123" s="127">
        <f t="shared" si="3"/>
        <v>0</v>
      </c>
    </row>
    <row r="124" spans="1:18" ht="12.75">
      <c r="A124" s="713"/>
      <c r="B124" s="764"/>
      <c r="C124" s="38" t="s">
        <v>360</v>
      </c>
      <c r="D124" s="52"/>
      <c r="E124" s="52"/>
      <c r="F124" s="52"/>
      <c r="G124" s="52"/>
      <c r="H124" s="52"/>
      <c r="I124" s="336"/>
      <c r="J124" s="337"/>
      <c r="K124" s="24"/>
      <c r="L124" s="21"/>
      <c r="M124" s="21"/>
      <c r="N124" s="21"/>
      <c r="O124" s="105">
        <v>215536.59</v>
      </c>
      <c r="P124" s="51">
        <v>622733</v>
      </c>
      <c r="Q124" s="64">
        <v>373464.21</v>
      </c>
      <c r="R124" s="127">
        <f t="shared" si="3"/>
        <v>59.971803325020524</v>
      </c>
    </row>
    <row r="125" spans="1:18" ht="12.75">
      <c r="A125" s="713"/>
      <c r="B125" s="764"/>
      <c r="C125" s="38" t="s">
        <v>423</v>
      </c>
      <c r="D125" s="52"/>
      <c r="E125" s="52"/>
      <c r="F125" s="52"/>
      <c r="G125" s="52"/>
      <c r="H125" s="52"/>
      <c r="I125" s="336"/>
      <c r="J125" s="337"/>
      <c r="K125" s="24"/>
      <c r="L125" s="21"/>
      <c r="M125" s="21"/>
      <c r="N125" s="21"/>
      <c r="O125" s="105"/>
      <c r="P125" s="51">
        <v>25000</v>
      </c>
      <c r="Q125" s="64"/>
      <c r="R125" s="127">
        <f t="shared" si="3"/>
        <v>0</v>
      </c>
    </row>
    <row r="126" spans="1:18" ht="12.75">
      <c r="A126" s="713"/>
      <c r="B126" s="764"/>
      <c r="C126" s="38" t="s">
        <v>459</v>
      </c>
      <c r="D126" s="52"/>
      <c r="E126" s="52"/>
      <c r="F126" s="52"/>
      <c r="G126" s="52"/>
      <c r="H126" s="52"/>
      <c r="I126" s="336"/>
      <c r="J126" s="337"/>
      <c r="K126" s="24"/>
      <c r="L126" s="21"/>
      <c r="M126" s="21"/>
      <c r="N126" s="21"/>
      <c r="O126" s="105">
        <v>6203</v>
      </c>
      <c r="P126" s="51">
        <v>0</v>
      </c>
      <c r="Q126" s="64"/>
      <c r="R126" s="127">
        <f t="shared" si="3"/>
        <v>0</v>
      </c>
    </row>
    <row r="127" spans="1:18" ht="12.75">
      <c r="A127" s="713"/>
      <c r="B127" s="764"/>
      <c r="C127" s="38" t="s">
        <v>397</v>
      </c>
      <c r="D127" s="52"/>
      <c r="E127" s="52"/>
      <c r="F127" s="52"/>
      <c r="G127" s="52"/>
      <c r="H127" s="52"/>
      <c r="I127" s="336"/>
      <c r="J127" s="337"/>
      <c r="K127" s="24"/>
      <c r="L127" s="21"/>
      <c r="M127" s="21"/>
      <c r="N127" s="21"/>
      <c r="O127" s="105">
        <v>86509.7</v>
      </c>
      <c r="P127" s="51">
        <v>0</v>
      </c>
      <c r="Q127" s="64"/>
      <c r="R127" s="127">
        <f t="shared" si="3"/>
        <v>0</v>
      </c>
    </row>
    <row r="128" spans="1:18" ht="12.75">
      <c r="A128" s="713"/>
      <c r="B128" s="764"/>
      <c r="C128" s="38" t="s">
        <v>396</v>
      </c>
      <c r="D128" s="52"/>
      <c r="E128" s="52"/>
      <c r="F128" s="52"/>
      <c r="G128" s="52"/>
      <c r="H128" s="52"/>
      <c r="I128" s="336"/>
      <c r="J128" s="337"/>
      <c r="K128" s="24"/>
      <c r="L128" s="21">
        <v>22611.84</v>
      </c>
      <c r="M128" s="105"/>
      <c r="N128" s="21"/>
      <c r="O128" s="105"/>
      <c r="P128" s="51">
        <v>0</v>
      </c>
      <c r="Q128" s="64"/>
      <c r="R128" s="127">
        <f t="shared" si="3"/>
        <v>0</v>
      </c>
    </row>
    <row r="129" spans="1:18" ht="12.75">
      <c r="A129" s="713"/>
      <c r="B129" s="764"/>
      <c r="C129" s="38" t="s">
        <v>424</v>
      </c>
      <c r="D129" s="52"/>
      <c r="E129" s="52"/>
      <c r="F129" s="52"/>
      <c r="G129" s="52"/>
      <c r="H129" s="52"/>
      <c r="I129" s="336"/>
      <c r="J129" s="337"/>
      <c r="K129" s="24"/>
      <c r="L129" s="21"/>
      <c r="M129" s="105"/>
      <c r="N129" s="21"/>
      <c r="O129" s="105"/>
      <c r="P129" s="51">
        <v>10000</v>
      </c>
      <c r="Q129" s="64">
        <v>9978.58</v>
      </c>
      <c r="R129" s="127">
        <f t="shared" si="3"/>
        <v>99.78580000000001</v>
      </c>
    </row>
    <row r="130" spans="1:18" ht="12.75">
      <c r="A130" s="713"/>
      <c r="B130" s="764"/>
      <c r="C130" s="38" t="s">
        <v>471</v>
      </c>
      <c r="D130" s="52"/>
      <c r="E130" s="52"/>
      <c r="F130" s="52"/>
      <c r="G130" s="52"/>
      <c r="H130" s="52"/>
      <c r="I130" s="336"/>
      <c r="J130" s="337"/>
      <c r="K130" s="24"/>
      <c r="L130" s="21"/>
      <c r="M130" s="105"/>
      <c r="N130" s="21"/>
      <c r="O130" s="105"/>
      <c r="P130" s="51">
        <v>3810</v>
      </c>
      <c r="Q130" s="64">
        <v>3810</v>
      </c>
      <c r="R130" s="127">
        <f t="shared" si="3"/>
        <v>100</v>
      </c>
    </row>
    <row r="131" spans="1:18" ht="12.75">
      <c r="A131" s="713"/>
      <c r="B131" s="764"/>
      <c r="C131" s="38" t="s">
        <v>427</v>
      </c>
      <c r="D131" s="52"/>
      <c r="E131" s="52"/>
      <c r="F131" s="52"/>
      <c r="G131" s="52"/>
      <c r="H131" s="52"/>
      <c r="I131" s="336"/>
      <c r="J131" s="337"/>
      <c r="K131" s="24"/>
      <c r="L131" s="21"/>
      <c r="M131" s="105">
        <v>31200</v>
      </c>
      <c r="N131" s="21"/>
      <c r="O131" s="105"/>
      <c r="P131" s="51">
        <v>86500</v>
      </c>
      <c r="Q131" s="64">
        <v>86233.11</v>
      </c>
      <c r="R131" s="127">
        <f t="shared" si="3"/>
        <v>99.69145664739885</v>
      </c>
    </row>
    <row r="132" spans="1:18" ht="12.75">
      <c r="A132" s="713"/>
      <c r="B132" s="764"/>
      <c r="C132" s="38" t="s">
        <v>441</v>
      </c>
      <c r="D132" s="52"/>
      <c r="E132" s="52"/>
      <c r="F132" s="52"/>
      <c r="G132" s="52"/>
      <c r="H132" s="52"/>
      <c r="I132" s="336"/>
      <c r="J132" s="337"/>
      <c r="K132" s="24"/>
      <c r="L132" s="21"/>
      <c r="M132" s="105">
        <v>12085.36</v>
      </c>
      <c r="N132" s="21"/>
      <c r="O132" s="105">
        <v>6060</v>
      </c>
      <c r="P132" s="51">
        <v>5500</v>
      </c>
      <c r="Q132" s="64">
        <v>5500</v>
      </c>
      <c r="R132" s="127">
        <f t="shared" si="3"/>
        <v>100</v>
      </c>
    </row>
    <row r="133" spans="1:18" ht="13.5" thickBot="1">
      <c r="A133" s="713"/>
      <c r="B133" s="764"/>
      <c r="C133" s="38" t="s">
        <v>398</v>
      </c>
      <c r="D133" s="59"/>
      <c r="E133" s="59"/>
      <c r="F133" s="59"/>
      <c r="G133" s="59"/>
      <c r="H133" s="59"/>
      <c r="I133" s="338"/>
      <c r="J133" s="339"/>
      <c r="K133" s="27"/>
      <c r="L133" s="21"/>
      <c r="M133" s="105"/>
      <c r="N133" s="21"/>
      <c r="O133" s="105">
        <v>2500</v>
      </c>
      <c r="P133" s="51">
        <v>0</v>
      </c>
      <c r="Q133" s="64"/>
      <c r="R133" s="127">
        <f aca="true" t="shared" si="9" ref="R133:R142">IF(P133=0,0,Q133/P133)*100</f>
        <v>0</v>
      </c>
    </row>
    <row r="134" spans="1:18" ht="13.5" hidden="1" thickBot="1">
      <c r="A134" s="713"/>
      <c r="B134" s="764"/>
      <c r="C134" s="38" t="s">
        <v>348</v>
      </c>
      <c r="D134" s="59"/>
      <c r="E134" s="59"/>
      <c r="F134" s="59"/>
      <c r="G134" s="59"/>
      <c r="H134" s="59"/>
      <c r="I134" s="338"/>
      <c r="J134" s="339"/>
      <c r="K134" s="27"/>
      <c r="L134" s="24"/>
      <c r="M134" s="183">
        <v>8850</v>
      </c>
      <c r="N134" s="39"/>
      <c r="O134" s="64"/>
      <c r="P134" s="51"/>
      <c r="Q134" s="64"/>
      <c r="R134" s="127">
        <f t="shared" si="9"/>
        <v>0</v>
      </c>
    </row>
    <row r="135" spans="1:18" ht="13.5" hidden="1" thickBot="1">
      <c r="A135" s="713"/>
      <c r="B135" s="764"/>
      <c r="C135" s="42" t="s">
        <v>220</v>
      </c>
      <c r="D135" s="59"/>
      <c r="E135" s="59"/>
      <c r="F135" s="59"/>
      <c r="G135" s="59"/>
      <c r="H135" s="59"/>
      <c r="I135" s="338"/>
      <c r="J135" s="339"/>
      <c r="K135" s="27"/>
      <c r="L135" s="62"/>
      <c r="M135" s="103"/>
      <c r="N135" s="62">
        <v>250</v>
      </c>
      <c r="O135" s="103"/>
      <c r="P135" s="51"/>
      <c r="Q135" s="64"/>
      <c r="R135" s="127">
        <f t="shared" si="9"/>
        <v>0</v>
      </c>
    </row>
    <row r="136" spans="1:18" ht="13.5" hidden="1" thickBot="1">
      <c r="A136" s="711"/>
      <c r="B136" s="765"/>
      <c r="C136" s="42" t="s">
        <v>358</v>
      </c>
      <c r="D136" s="59"/>
      <c r="E136" s="59"/>
      <c r="F136" s="59"/>
      <c r="G136" s="59"/>
      <c r="H136" s="59"/>
      <c r="I136" s="338"/>
      <c r="J136" s="339"/>
      <c r="K136" s="27"/>
      <c r="L136" s="27"/>
      <c r="M136" s="201"/>
      <c r="N136" s="27">
        <v>27850</v>
      </c>
      <c r="O136" s="201"/>
      <c r="P136" s="39"/>
      <c r="Q136" s="101"/>
      <c r="R136" s="119">
        <f t="shared" si="9"/>
        <v>0</v>
      </c>
    </row>
    <row r="137" spans="1:18" ht="15.75" hidden="1" thickBot="1">
      <c r="A137" s="190" t="s">
        <v>17</v>
      </c>
      <c r="B137" s="680" t="s">
        <v>18</v>
      </c>
      <c r="C137" s="681"/>
      <c r="D137" s="6"/>
      <c r="E137" s="6"/>
      <c r="F137" s="6"/>
      <c r="G137" s="6"/>
      <c r="H137" s="6"/>
      <c r="I137" s="255">
        <v>104542</v>
      </c>
      <c r="J137" s="191">
        <v>66000</v>
      </c>
      <c r="K137" s="60">
        <f>K138+K139</f>
        <v>0</v>
      </c>
      <c r="L137" s="94"/>
      <c r="M137" s="94"/>
      <c r="N137" s="94"/>
      <c r="O137" s="454"/>
      <c r="P137" s="60"/>
      <c r="Q137" s="192">
        <f>IF(O137=0,0,P137/O137)</f>
        <v>0</v>
      </c>
      <c r="R137" s="566">
        <f t="shared" si="9"/>
        <v>0</v>
      </c>
    </row>
    <row r="138" spans="1:18" ht="13.5" hidden="1" thickBot="1">
      <c r="A138" s="401"/>
      <c r="B138" s="402"/>
      <c r="C138" s="472"/>
      <c r="D138" s="402"/>
      <c r="E138" s="402"/>
      <c r="F138" s="402"/>
      <c r="G138" s="402"/>
      <c r="H138" s="402"/>
      <c r="I138" s="402"/>
      <c r="J138" s="402"/>
      <c r="K138" s="402"/>
      <c r="L138" s="473"/>
      <c r="M138" s="472"/>
      <c r="N138" s="474"/>
      <c r="O138" s="547"/>
      <c r="P138" s="472"/>
      <c r="Q138" s="631">
        <f>IF(O138=0,0,P138/O138)</f>
        <v>0</v>
      </c>
      <c r="R138" s="605">
        <f t="shared" si="9"/>
        <v>0</v>
      </c>
    </row>
    <row r="139" spans="1:18" ht="13.5" hidden="1" thickBot="1">
      <c r="A139" s="333"/>
      <c r="B139" s="335"/>
      <c r="C139" s="128" t="s">
        <v>57</v>
      </c>
      <c r="D139" s="61"/>
      <c r="E139" s="61"/>
      <c r="F139" s="61"/>
      <c r="G139" s="61"/>
      <c r="H139" s="61"/>
      <c r="I139" s="61"/>
      <c r="J139" s="61"/>
      <c r="K139" s="62"/>
      <c r="L139" s="62"/>
      <c r="M139" s="62"/>
      <c r="N139" s="62"/>
      <c r="O139" s="103"/>
      <c r="P139" s="220"/>
      <c r="Q139" s="436"/>
      <c r="R139" s="586">
        <f t="shared" si="9"/>
        <v>0</v>
      </c>
    </row>
    <row r="140" spans="1:18" ht="13.5" thickBot="1">
      <c r="A140" s="403" t="s">
        <v>58</v>
      </c>
      <c r="B140" s="777" t="s">
        <v>440</v>
      </c>
      <c r="C140" s="778"/>
      <c r="D140" s="404"/>
      <c r="E140" s="404"/>
      <c r="F140" s="404"/>
      <c r="G140" s="404"/>
      <c r="H140" s="404"/>
      <c r="I140" s="113">
        <f>I141</f>
        <v>0</v>
      </c>
      <c r="J140" s="113">
        <f>J141</f>
        <v>0</v>
      </c>
      <c r="K140" s="113">
        <f>K141</f>
        <v>0</v>
      </c>
      <c r="L140" s="113">
        <f>L141</f>
        <v>82887.77</v>
      </c>
      <c r="M140" s="464">
        <v>7399.64</v>
      </c>
      <c r="N140" s="434">
        <f>N141</f>
        <v>0</v>
      </c>
      <c r="O140" s="300">
        <f>O141</f>
        <v>0</v>
      </c>
      <c r="P140" s="434">
        <f>P141</f>
        <v>34800</v>
      </c>
      <c r="Q140" s="300">
        <f>Q141</f>
        <v>35641.19</v>
      </c>
      <c r="R140" s="574">
        <f t="shared" si="9"/>
        <v>102.41721264367816</v>
      </c>
    </row>
    <row r="141" spans="1:20" ht="13.5" thickBot="1">
      <c r="A141" s="333"/>
      <c r="B141" s="335"/>
      <c r="C141" s="402" t="s">
        <v>450</v>
      </c>
      <c r="D141" s="402"/>
      <c r="E141" s="402"/>
      <c r="F141" s="402"/>
      <c r="G141" s="402"/>
      <c r="H141" s="402"/>
      <c r="I141" s="61"/>
      <c r="J141" s="61"/>
      <c r="K141" s="62"/>
      <c r="L141" s="62">
        <v>82887.77</v>
      </c>
      <c r="M141" s="103">
        <v>7399.64</v>
      </c>
      <c r="N141" s="62"/>
      <c r="O141" s="103"/>
      <c r="P141" s="220">
        <v>34800</v>
      </c>
      <c r="Q141" s="436">
        <v>35641.19</v>
      </c>
      <c r="R141" s="586">
        <f t="shared" si="9"/>
        <v>102.41721264367816</v>
      </c>
      <c r="T141" s="488"/>
    </row>
    <row r="142" spans="1:18" ht="17.25" thickBot="1" thickTop="1">
      <c r="A142" s="774" t="s">
        <v>59</v>
      </c>
      <c r="B142" s="775"/>
      <c r="C142" s="775"/>
      <c r="D142" s="90">
        <v>2988050</v>
      </c>
      <c r="E142" s="90">
        <v>1793069</v>
      </c>
      <c r="F142" s="90">
        <v>2942409</v>
      </c>
      <c r="G142" s="90">
        <v>4880528</v>
      </c>
      <c r="H142" s="90">
        <f aca="true" t="shared" si="10" ref="H142:O142">H119+H102+H110+H98+H74+H69+H61+H59+H52+H31+H13+H10+H4+H117+H137+H140</f>
        <v>5977301</v>
      </c>
      <c r="I142" s="90">
        <f t="shared" si="10"/>
        <v>5818483</v>
      </c>
      <c r="J142" s="90">
        <f t="shared" si="10"/>
        <v>4719096</v>
      </c>
      <c r="K142" s="90">
        <f t="shared" si="10"/>
        <v>3939694</v>
      </c>
      <c r="L142" s="90">
        <f t="shared" si="10"/>
        <v>1800938.79</v>
      </c>
      <c r="M142" s="330">
        <f t="shared" si="10"/>
        <v>2883605.860000001</v>
      </c>
      <c r="N142" s="90">
        <f t="shared" si="10"/>
        <v>1348818.6500000001</v>
      </c>
      <c r="O142" s="330">
        <f t="shared" si="10"/>
        <v>1900647.68</v>
      </c>
      <c r="P142" s="90">
        <f>P119+P102+P110+P98+P74+P69+P61+P59+P52+P31+P13+P10+P4+P117+P137+P140+P96</f>
        <v>3477543</v>
      </c>
      <c r="Q142" s="330">
        <f>Q119+Q102+Q110+Q98+Q74+Q69+Q61+Q59+Q52+Q31+Q13+Q10+Q4+Q117+Q137+Q140+Q96</f>
        <v>2329182.13</v>
      </c>
      <c r="R142" s="579">
        <f t="shared" si="9"/>
        <v>66.97780962018298</v>
      </c>
    </row>
    <row r="143" ht="13.5" thickTop="1"/>
    <row r="145" spans="9:19" ht="12.75">
      <c r="I145" s="488"/>
      <c r="M145" s="539"/>
      <c r="P145" s="488"/>
      <c r="R145" s="488"/>
      <c r="S145" s="488"/>
    </row>
    <row r="146" spans="17:19" ht="12.75">
      <c r="Q146" s="539"/>
      <c r="S146" s="539"/>
    </row>
    <row r="147" spans="17:19" ht="12.75">
      <c r="Q147" s="488"/>
      <c r="S147" s="488"/>
    </row>
    <row r="148" spans="16:18" ht="12.75">
      <c r="P148" s="488"/>
      <c r="Q148" s="539"/>
      <c r="R148" s="488"/>
    </row>
    <row r="149" spans="17:19" ht="18.75" customHeight="1">
      <c r="Q149" s="488"/>
      <c r="S149" s="488"/>
    </row>
    <row r="150" ht="12.75">
      <c r="Q150" s="539"/>
    </row>
  </sheetData>
  <sheetProtection/>
  <mergeCells count="59">
    <mergeCell ref="Q2:Q3"/>
    <mergeCell ref="A2:A3"/>
    <mergeCell ref="B2:B3"/>
    <mergeCell ref="C2:C3"/>
    <mergeCell ref="A1:J1"/>
    <mergeCell ref="I2:I3"/>
    <mergeCell ref="J2:J3"/>
    <mergeCell ref="K2:K3"/>
    <mergeCell ref="L2:L3"/>
    <mergeCell ref="D2:D3"/>
    <mergeCell ref="M2:M3"/>
    <mergeCell ref="H2:H3"/>
    <mergeCell ref="F2:F3"/>
    <mergeCell ref="G2:G3"/>
    <mergeCell ref="E2:E3"/>
    <mergeCell ref="B140:C140"/>
    <mergeCell ref="B137:C137"/>
    <mergeCell ref="B10:C10"/>
    <mergeCell ref="B96:C96"/>
    <mergeCell ref="A5:A9"/>
    <mergeCell ref="B5:B9"/>
    <mergeCell ref="B11:B12"/>
    <mergeCell ref="B31:C31"/>
    <mergeCell ref="B61:C61"/>
    <mergeCell ref="B13:C13"/>
    <mergeCell ref="A14:A30"/>
    <mergeCell ref="A53:A58"/>
    <mergeCell ref="B53:B58"/>
    <mergeCell ref="A11:A12"/>
    <mergeCell ref="A142:C142"/>
    <mergeCell ref="B117:C117"/>
    <mergeCell ref="B119:C119"/>
    <mergeCell ref="A120:A136"/>
    <mergeCell ref="B120:B136"/>
    <mergeCell ref="B52:C52"/>
    <mergeCell ref="A62:A68"/>
    <mergeCell ref="B62:B68"/>
    <mergeCell ref="A70:A73"/>
    <mergeCell ref="B59:C59"/>
    <mergeCell ref="A111:A116"/>
    <mergeCell ref="B111:B116"/>
    <mergeCell ref="B14:B30"/>
    <mergeCell ref="B74:C74"/>
    <mergeCell ref="B102:C102"/>
    <mergeCell ref="A103:A109"/>
    <mergeCell ref="B103:B109"/>
    <mergeCell ref="A75:A95"/>
    <mergeCell ref="A32:A51"/>
    <mergeCell ref="B32:B51"/>
    <mergeCell ref="P2:P3"/>
    <mergeCell ref="B4:C4"/>
    <mergeCell ref="O2:O3"/>
    <mergeCell ref="N2:N3"/>
    <mergeCell ref="R2:R3"/>
    <mergeCell ref="B110:C110"/>
    <mergeCell ref="B69:C69"/>
    <mergeCell ref="B98:C98"/>
    <mergeCell ref="B75:B95"/>
    <mergeCell ref="B70:B73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portrait" paperSize="9" scale="81" r:id="rId1"/>
  <rowBreaks count="1" manualBreakCount="1"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W18"/>
  <sheetViews>
    <sheetView workbookViewId="0" topLeftCell="B1">
      <selection activeCell="C22" sqref="C22"/>
    </sheetView>
  </sheetViews>
  <sheetFormatPr defaultColWidth="9.140625" defaultRowHeight="12.75"/>
  <cols>
    <col min="2" max="2" width="7.00390625" style="0" customWidth="1"/>
    <col min="3" max="3" width="35.140625" style="0" customWidth="1"/>
    <col min="4" max="10" width="11.7109375" style="0" hidden="1" customWidth="1"/>
    <col min="11" max="11" width="10.57421875" style="0" hidden="1" customWidth="1"/>
    <col min="12" max="12" width="13.7109375" style="0" customWidth="1"/>
    <col min="13" max="13" width="13.57421875" style="0" customWidth="1"/>
    <col min="14" max="14" width="14.57421875" style="0" customWidth="1"/>
    <col min="15" max="15" width="14.00390625" style="0" customWidth="1"/>
    <col min="16" max="16" width="13.57421875" style="0" customWidth="1"/>
    <col min="17" max="17" width="12.28125" style="0" customWidth="1"/>
    <col min="18" max="18" width="13.28125" style="0" customWidth="1"/>
    <col min="21" max="21" width="11.7109375" style="0" bestFit="1" customWidth="1"/>
  </cols>
  <sheetData>
    <row r="1" ht="12.75">
      <c r="A1" s="514" t="s">
        <v>419</v>
      </c>
    </row>
    <row r="2" ht="13.5" thickBot="1">
      <c r="A2" s="515" t="s">
        <v>420</v>
      </c>
    </row>
    <row r="3" spans="1:18" ht="14.25" customHeight="1" thickTop="1">
      <c r="A3" s="666" t="s">
        <v>93</v>
      </c>
      <c r="B3" s="686" t="s">
        <v>94</v>
      </c>
      <c r="C3" s="668" t="s">
        <v>95</v>
      </c>
      <c r="D3" s="668" t="s">
        <v>189</v>
      </c>
      <c r="E3" s="668" t="s">
        <v>190</v>
      </c>
      <c r="F3" s="668" t="s">
        <v>191</v>
      </c>
      <c r="G3" s="668" t="s">
        <v>192</v>
      </c>
      <c r="H3" s="668" t="s">
        <v>193</v>
      </c>
      <c r="I3" s="668" t="s">
        <v>101</v>
      </c>
      <c r="J3" s="668" t="s">
        <v>102</v>
      </c>
      <c r="K3" s="668" t="s">
        <v>103</v>
      </c>
      <c r="L3" s="668" t="s">
        <v>104</v>
      </c>
      <c r="M3" s="668" t="s">
        <v>345</v>
      </c>
      <c r="N3" s="668" t="s">
        <v>376</v>
      </c>
      <c r="O3" s="668" t="s">
        <v>451</v>
      </c>
      <c r="P3" s="752" t="s">
        <v>422</v>
      </c>
      <c r="Q3" s="668" t="s">
        <v>519</v>
      </c>
      <c r="R3" s="682" t="s">
        <v>483</v>
      </c>
    </row>
    <row r="4" spans="1:18" ht="27.75" customHeight="1" thickBot="1">
      <c r="A4" s="667"/>
      <c r="B4" s="687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753"/>
      <c r="Q4" s="669"/>
      <c r="R4" s="683"/>
    </row>
    <row r="5" spans="1:18" ht="14.25" thickBot="1" thickTop="1">
      <c r="A5" s="34">
        <v>519</v>
      </c>
      <c r="B5" s="788" t="s">
        <v>69</v>
      </c>
      <c r="C5" s="789"/>
      <c r="D5" s="16">
        <f aca="true" t="shared" si="0" ref="D5:M5">SUM(D6:D7)</f>
        <v>0</v>
      </c>
      <c r="E5" s="16">
        <f t="shared" si="0"/>
        <v>0</v>
      </c>
      <c r="F5" s="16">
        <f t="shared" si="0"/>
        <v>806731</v>
      </c>
      <c r="G5" s="16">
        <f t="shared" si="0"/>
        <v>1932030</v>
      </c>
      <c r="H5" s="16">
        <f t="shared" si="0"/>
        <v>1218758</v>
      </c>
      <c r="I5" s="16">
        <f t="shared" si="0"/>
        <v>1712805</v>
      </c>
      <c r="J5" s="16">
        <f t="shared" si="0"/>
        <v>796126</v>
      </c>
      <c r="K5" s="16">
        <f t="shared" si="0"/>
        <v>889265</v>
      </c>
      <c r="L5" s="132">
        <f t="shared" si="0"/>
        <v>1041848.1</v>
      </c>
      <c r="M5" s="132">
        <f t="shared" si="0"/>
        <v>1842801.75</v>
      </c>
      <c r="N5" s="16">
        <f>SUM(N6:N7)</f>
        <v>1578149.94</v>
      </c>
      <c r="O5" s="132">
        <f>SUM(O6:O7)</f>
        <v>597135.82</v>
      </c>
      <c r="P5" s="16">
        <f>SUM(P6:P7)</f>
        <v>95594</v>
      </c>
      <c r="Q5" s="16">
        <f>SUM(Q6:Q7)</f>
        <v>61339.119999999995</v>
      </c>
      <c r="R5" s="582">
        <f aca="true" t="shared" si="1" ref="R5:R17">IF(P5=0,0,Q5/P5)*100</f>
        <v>64.16628658702429</v>
      </c>
    </row>
    <row r="6" spans="1:21" ht="12.75">
      <c r="A6" s="660"/>
      <c r="B6" s="133"/>
      <c r="C6" s="36" t="s">
        <v>252</v>
      </c>
      <c r="D6" s="36"/>
      <c r="E6" s="36"/>
      <c r="F6" s="36"/>
      <c r="G6" s="36">
        <v>186636</v>
      </c>
      <c r="H6" s="36">
        <v>1102901</v>
      </c>
      <c r="I6" s="36">
        <v>1052724</v>
      </c>
      <c r="J6" s="37">
        <v>232649</v>
      </c>
      <c r="K6" s="37">
        <v>638944</v>
      </c>
      <c r="L6" s="134">
        <v>96973.2</v>
      </c>
      <c r="M6" s="134">
        <v>633655.25</v>
      </c>
      <c r="N6" s="37">
        <v>1495900</v>
      </c>
      <c r="O6" s="134">
        <v>363308.49</v>
      </c>
      <c r="P6" s="37">
        <v>56844</v>
      </c>
      <c r="Q6" s="436">
        <v>47962.56</v>
      </c>
      <c r="R6" s="596">
        <f t="shared" si="1"/>
        <v>84.37576525226936</v>
      </c>
      <c r="U6" s="406"/>
    </row>
    <row r="7" spans="1:21" ht="13.5" thickBot="1">
      <c r="A7" s="662"/>
      <c r="B7" s="135"/>
      <c r="C7" s="41" t="s">
        <v>253</v>
      </c>
      <c r="D7" s="41"/>
      <c r="E7" s="41"/>
      <c r="F7" s="41">
        <v>806731</v>
      </c>
      <c r="G7" s="41">
        <v>1745394</v>
      </c>
      <c r="H7" s="41">
        <v>115857</v>
      </c>
      <c r="I7" s="41">
        <v>660081</v>
      </c>
      <c r="J7" s="54">
        <v>563477</v>
      </c>
      <c r="K7" s="136">
        <v>250321</v>
      </c>
      <c r="L7" s="137">
        <v>944874.9</v>
      </c>
      <c r="M7" s="137">
        <v>1209146.5</v>
      </c>
      <c r="N7" s="136">
        <v>82249.94</v>
      </c>
      <c r="O7" s="137">
        <v>233827.33</v>
      </c>
      <c r="P7" s="54">
        <v>38750</v>
      </c>
      <c r="Q7" s="54">
        <v>13376.56</v>
      </c>
      <c r="R7" s="127">
        <f t="shared" si="1"/>
        <v>34.52015483870968</v>
      </c>
      <c r="U7" s="2"/>
    </row>
    <row r="8" spans="1:18" ht="13.5" thickBot="1">
      <c r="A8" s="17">
        <v>450</v>
      </c>
      <c r="B8" s="786" t="s">
        <v>153</v>
      </c>
      <c r="C8" s="734"/>
      <c r="D8" s="58">
        <f>SUM(D9:D16)</f>
        <v>499436</v>
      </c>
      <c r="E8" s="58">
        <v>313085</v>
      </c>
      <c r="F8" s="58">
        <v>834018</v>
      </c>
      <c r="G8" s="58">
        <f aca="true" t="shared" si="2" ref="G8:M8">SUM(G9:G16)</f>
        <v>822908</v>
      </c>
      <c r="H8" s="58">
        <f t="shared" si="2"/>
        <v>3260676</v>
      </c>
      <c r="I8" s="58">
        <f t="shared" si="2"/>
        <v>553863</v>
      </c>
      <c r="J8" s="58">
        <f t="shared" si="2"/>
        <v>509280</v>
      </c>
      <c r="K8" s="58">
        <f t="shared" si="2"/>
        <v>620269</v>
      </c>
      <c r="L8" s="138">
        <f t="shared" si="2"/>
        <v>259121.03000000003</v>
      </c>
      <c r="M8" s="138">
        <f t="shared" si="2"/>
        <v>923759.61</v>
      </c>
      <c r="N8" s="58">
        <f>SUM(N9:N16)</f>
        <v>913983.99</v>
      </c>
      <c r="O8" s="138">
        <f>SUM(O9:O16)</f>
        <v>670041.3</v>
      </c>
      <c r="P8" s="58">
        <f>SUM(P9:P16)</f>
        <v>1342950</v>
      </c>
      <c r="Q8" s="138">
        <f>SUM(Q9:Q16)</f>
        <v>1328239.53</v>
      </c>
      <c r="R8" s="125">
        <f t="shared" si="1"/>
        <v>98.90461521277784</v>
      </c>
    </row>
    <row r="9" spans="1:18" ht="12.75">
      <c r="A9" s="660"/>
      <c r="B9" s="133"/>
      <c r="C9" s="139" t="s">
        <v>71</v>
      </c>
      <c r="D9" s="139">
        <v>190367</v>
      </c>
      <c r="E9" s="139"/>
      <c r="F9" s="139"/>
      <c r="G9" s="37">
        <f>265551+398</f>
        <v>265949</v>
      </c>
      <c r="H9" s="139">
        <v>1534133</v>
      </c>
      <c r="I9" s="139">
        <v>43800</v>
      </c>
      <c r="J9" s="140"/>
      <c r="K9" s="141">
        <v>9775</v>
      </c>
      <c r="L9" s="142">
        <v>16185.64</v>
      </c>
      <c r="M9" s="142"/>
      <c r="N9" s="141">
        <v>191699.89</v>
      </c>
      <c r="O9" s="142"/>
      <c r="P9" s="37">
        <v>0</v>
      </c>
      <c r="Q9" s="134"/>
      <c r="R9" s="596">
        <f t="shared" si="1"/>
        <v>0</v>
      </c>
    </row>
    <row r="10" spans="1:22" ht="12.75">
      <c r="A10" s="661"/>
      <c r="B10" s="143"/>
      <c r="C10" s="144" t="s">
        <v>72</v>
      </c>
      <c r="D10" s="144"/>
      <c r="E10" s="144"/>
      <c r="F10" s="144"/>
      <c r="G10" s="51"/>
      <c r="H10" s="144">
        <v>921499</v>
      </c>
      <c r="I10" s="144">
        <v>220604</v>
      </c>
      <c r="J10" s="145">
        <v>192501</v>
      </c>
      <c r="K10" s="146">
        <v>494</v>
      </c>
      <c r="L10" s="147">
        <v>208144.39</v>
      </c>
      <c r="M10" s="147">
        <v>907789.61</v>
      </c>
      <c r="N10" s="146">
        <v>686557.48</v>
      </c>
      <c r="O10" s="147">
        <v>142641.65</v>
      </c>
      <c r="P10" s="51">
        <v>634385</v>
      </c>
      <c r="Q10" s="64">
        <v>663985.27</v>
      </c>
      <c r="R10" s="127">
        <f t="shared" si="1"/>
        <v>104.66597886141697</v>
      </c>
      <c r="V10" s="2"/>
    </row>
    <row r="11" spans="1:18" ht="12.75">
      <c r="A11" s="661"/>
      <c r="B11" s="143"/>
      <c r="C11" s="144" t="s">
        <v>439</v>
      </c>
      <c r="D11" s="144"/>
      <c r="E11" s="144"/>
      <c r="F11" s="144"/>
      <c r="G11" s="51">
        <v>545044</v>
      </c>
      <c r="H11" s="144">
        <v>545044</v>
      </c>
      <c r="I11" s="144"/>
      <c r="J11" s="145"/>
      <c r="K11" s="146"/>
      <c r="L11" s="147"/>
      <c r="M11" s="147">
        <v>12870</v>
      </c>
      <c r="N11" s="146">
        <v>1275.2</v>
      </c>
      <c r="O11" s="147">
        <v>132806.18</v>
      </c>
      <c r="P11" s="51">
        <v>38266</v>
      </c>
      <c r="Q11" s="64">
        <v>34091.29</v>
      </c>
      <c r="R11" s="127">
        <f t="shared" si="1"/>
        <v>89.0902890294256</v>
      </c>
    </row>
    <row r="12" spans="1:20" ht="12.75">
      <c r="A12" s="661"/>
      <c r="B12" s="143"/>
      <c r="C12" s="144" t="s">
        <v>389</v>
      </c>
      <c r="D12" s="144"/>
      <c r="E12" s="144"/>
      <c r="F12" s="144"/>
      <c r="G12" s="51"/>
      <c r="H12" s="144"/>
      <c r="I12" s="144"/>
      <c r="J12" s="145"/>
      <c r="K12" s="146"/>
      <c r="L12" s="147"/>
      <c r="M12" s="147"/>
      <c r="N12" s="146">
        <v>34451.42</v>
      </c>
      <c r="O12" s="147"/>
      <c r="P12" s="51">
        <v>0</v>
      </c>
      <c r="Q12" s="64">
        <f>50326.86-6055.98-6055.98</f>
        <v>38214.90000000001</v>
      </c>
      <c r="R12" s="127">
        <f t="shared" si="1"/>
        <v>0</v>
      </c>
      <c r="T12" s="2"/>
    </row>
    <row r="13" spans="1:23" ht="12.75">
      <c r="A13" s="661"/>
      <c r="B13" s="143"/>
      <c r="C13" s="144" t="s">
        <v>73</v>
      </c>
      <c r="D13" s="144">
        <v>309069</v>
      </c>
      <c r="E13" s="144"/>
      <c r="F13" s="144"/>
      <c r="G13" s="51"/>
      <c r="H13" s="144">
        <v>260000</v>
      </c>
      <c r="I13" s="144">
        <v>277803</v>
      </c>
      <c r="J13" s="145">
        <v>316779</v>
      </c>
      <c r="K13" s="146">
        <v>610000</v>
      </c>
      <c r="L13" s="147">
        <v>34791</v>
      </c>
      <c r="M13" s="147">
        <v>3100</v>
      </c>
      <c r="N13" s="146"/>
      <c r="O13" s="147">
        <v>364593.4700000001</v>
      </c>
      <c r="P13" s="51">
        <v>670299</v>
      </c>
      <c r="Q13" s="64">
        <v>591948.07</v>
      </c>
      <c r="R13" s="127">
        <f t="shared" si="1"/>
        <v>88.31104775629979</v>
      </c>
      <c r="T13" s="2"/>
      <c r="V13" s="2"/>
      <c r="W13" s="2"/>
    </row>
    <row r="14" spans="1:21" ht="12.75">
      <c r="A14" s="661"/>
      <c r="B14" s="143"/>
      <c r="C14" s="144" t="s">
        <v>400</v>
      </c>
      <c r="D14" s="144"/>
      <c r="E14" s="144"/>
      <c r="F14" s="144"/>
      <c r="G14" s="144">
        <v>11915</v>
      </c>
      <c r="H14" s="144"/>
      <c r="I14" s="144">
        <v>11656</v>
      </c>
      <c r="J14" s="145"/>
      <c r="K14" s="51"/>
      <c r="L14" s="64"/>
      <c r="M14" s="64">
        <v>0</v>
      </c>
      <c r="N14" s="51"/>
      <c r="O14" s="64">
        <v>30000</v>
      </c>
      <c r="P14" s="51">
        <v>0</v>
      </c>
      <c r="Q14" s="64"/>
      <c r="R14" s="127">
        <f t="shared" si="1"/>
        <v>0</v>
      </c>
      <c r="U14" s="2"/>
    </row>
    <row r="15" spans="1:18" ht="12.75">
      <c r="A15" s="661"/>
      <c r="B15" s="148"/>
      <c r="C15" s="149"/>
      <c r="D15" s="149"/>
      <c r="E15" s="149"/>
      <c r="F15" s="149"/>
      <c r="G15" s="149"/>
      <c r="H15" s="149"/>
      <c r="I15" s="149"/>
      <c r="J15" s="149"/>
      <c r="K15" s="39"/>
      <c r="L15" s="101"/>
      <c r="M15" s="101"/>
      <c r="N15" s="39"/>
      <c r="O15" s="101"/>
      <c r="P15" s="39">
        <v>0</v>
      </c>
      <c r="Q15" s="101"/>
      <c r="R15" s="119">
        <f t="shared" si="1"/>
        <v>0</v>
      </c>
    </row>
    <row r="16" spans="1:18" ht="13.5" thickBot="1">
      <c r="A16" s="787"/>
      <c r="B16" s="148"/>
      <c r="C16" s="149"/>
      <c r="D16" s="149"/>
      <c r="E16" s="149"/>
      <c r="F16" s="149"/>
      <c r="G16" s="149"/>
      <c r="H16" s="149"/>
      <c r="I16" s="149"/>
      <c r="J16" s="149"/>
      <c r="K16" s="39"/>
      <c r="L16" s="101"/>
      <c r="M16" s="101"/>
      <c r="N16" s="39"/>
      <c r="O16" s="101"/>
      <c r="P16" s="39">
        <v>0</v>
      </c>
      <c r="Q16" s="101"/>
      <c r="R16" s="119">
        <f t="shared" si="1"/>
        <v>0</v>
      </c>
    </row>
    <row r="17" spans="1:18" ht="14.25" thickBot="1" thickTop="1">
      <c r="A17" s="782" t="s">
        <v>254</v>
      </c>
      <c r="B17" s="783"/>
      <c r="C17" s="784"/>
      <c r="D17" s="150">
        <f aca="true" t="shared" si="3" ref="D17:M17">D8+D5</f>
        <v>499436</v>
      </c>
      <c r="E17" s="150">
        <f t="shared" si="3"/>
        <v>313085</v>
      </c>
      <c r="F17" s="150">
        <f t="shared" si="3"/>
        <v>1640749</v>
      </c>
      <c r="G17" s="150">
        <f t="shared" si="3"/>
        <v>2754938</v>
      </c>
      <c r="H17" s="150">
        <f t="shared" si="3"/>
        <v>4479434</v>
      </c>
      <c r="I17" s="150">
        <f t="shared" si="3"/>
        <v>2266668</v>
      </c>
      <c r="J17" s="150">
        <f t="shared" si="3"/>
        <v>1305406</v>
      </c>
      <c r="K17" s="150">
        <f t="shared" si="3"/>
        <v>1509534</v>
      </c>
      <c r="L17" s="151">
        <f t="shared" si="3"/>
        <v>1300969.13</v>
      </c>
      <c r="M17" s="151">
        <f t="shared" si="3"/>
        <v>2766561.36</v>
      </c>
      <c r="N17" s="150">
        <f>N8+N5</f>
        <v>2492133.9299999997</v>
      </c>
      <c r="O17" s="151">
        <f>O8+O5</f>
        <v>1267177.12</v>
      </c>
      <c r="P17" s="150">
        <f>P8+P5</f>
        <v>1438544</v>
      </c>
      <c r="Q17" s="151">
        <f>Q8+Q5</f>
        <v>1389578.65</v>
      </c>
      <c r="R17" s="606">
        <f t="shared" si="1"/>
        <v>96.5961868389149</v>
      </c>
    </row>
    <row r="18" spans="1:17" ht="13.5" thickTop="1">
      <c r="A18" s="785"/>
      <c r="B18" s="785"/>
      <c r="C18" s="785"/>
      <c r="D18" s="785"/>
      <c r="E18" s="785"/>
      <c r="F18" s="785"/>
      <c r="G18" s="785"/>
      <c r="H18" s="785"/>
      <c r="I18" s="785"/>
      <c r="J18" s="785"/>
      <c r="K18" s="152"/>
      <c r="L18" s="152"/>
      <c r="M18" s="152"/>
      <c r="N18" s="152"/>
      <c r="O18" s="152"/>
      <c r="P18" s="153"/>
      <c r="Q18" s="153"/>
    </row>
  </sheetData>
  <sheetProtection/>
  <mergeCells count="24">
    <mergeCell ref="R3:R4"/>
    <mergeCell ref="G3:G4"/>
    <mergeCell ref="H3:H4"/>
    <mergeCell ref="K3:K4"/>
    <mergeCell ref="P3:P4"/>
    <mergeCell ref="O3:O4"/>
    <mergeCell ref="Q3:Q4"/>
    <mergeCell ref="A17:C17"/>
    <mergeCell ref="A18:J18"/>
    <mergeCell ref="B8:C8"/>
    <mergeCell ref="A9:A16"/>
    <mergeCell ref="F3:F4"/>
    <mergeCell ref="A6:A7"/>
    <mergeCell ref="B5:C5"/>
    <mergeCell ref="I3:I4"/>
    <mergeCell ref="J3:J4"/>
    <mergeCell ref="A3:A4"/>
    <mergeCell ref="B3:B4"/>
    <mergeCell ref="C3:C4"/>
    <mergeCell ref="D3:D4"/>
    <mergeCell ref="N3:N4"/>
    <mergeCell ref="L3:L4"/>
    <mergeCell ref="M3:M4"/>
    <mergeCell ref="E3:E4"/>
  </mergeCells>
  <printOptions/>
  <pageMargins left="0.35433070866141736" right="0.35433070866141736" top="0.1968503937007874" bottom="0.984251968503937" header="0.11811023622047245" footer="0.511811023622047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T25"/>
  <sheetViews>
    <sheetView zoomScalePageLayoutView="0" workbookViewId="0" topLeftCell="O1">
      <selection activeCell="U16" sqref="U16"/>
    </sheetView>
  </sheetViews>
  <sheetFormatPr defaultColWidth="9.140625" defaultRowHeight="12.75"/>
  <cols>
    <col min="1" max="1" width="9.7109375" style="0" customWidth="1"/>
    <col min="2" max="2" width="9.00390625" style="0" customWidth="1"/>
    <col min="3" max="3" width="35.57421875" style="0" customWidth="1"/>
    <col min="4" max="4" width="9.140625" style="0" customWidth="1"/>
    <col min="5" max="11" width="9.140625" style="0" hidden="1" customWidth="1"/>
    <col min="12" max="13" width="11.7109375" style="0" hidden="1" customWidth="1"/>
    <col min="14" max="14" width="13.8515625" style="0" hidden="1" customWidth="1"/>
    <col min="15" max="16" width="11.57421875" style="0" customWidth="1"/>
    <col min="17" max="18" width="11.421875" style="0" customWidth="1"/>
    <col min="20" max="20" width="10.140625" style="0" bestFit="1" customWidth="1"/>
  </cols>
  <sheetData>
    <row r="1" spans="1:17" ht="13.5" thickBot="1">
      <c r="A1" s="781" t="s">
        <v>255</v>
      </c>
      <c r="B1" s="781"/>
      <c r="C1" s="781"/>
      <c r="D1" s="781"/>
      <c r="E1" s="781"/>
      <c r="F1" s="781"/>
      <c r="G1" s="781"/>
      <c r="H1" s="781"/>
      <c r="I1" s="781"/>
      <c r="J1" s="781"/>
      <c r="K1" s="154"/>
      <c r="L1" s="154"/>
      <c r="M1" s="154"/>
      <c r="N1" s="154"/>
      <c r="O1" s="154"/>
      <c r="P1" s="153"/>
      <c r="Q1" s="153"/>
    </row>
    <row r="2" spans="1:18" ht="14.25" customHeight="1" thickTop="1">
      <c r="A2" s="793" t="s">
        <v>60</v>
      </c>
      <c r="B2" s="779" t="s">
        <v>94</v>
      </c>
      <c r="C2" s="750" t="s">
        <v>61</v>
      </c>
      <c r="D2" s="668" t="s">
        <v>189</v>
      </c>
      <c r="E2" s="668" t="s">
        <v>190</v>
      </c>
      <c r="F2" s="668" t="s">
        <v>191</v>
      </c>
      <c r="G2" s="668" t="s">
        <v>192</v>
      </c>
      <c r="H2" s="668" t="s">
        <v>193</v>
      </c>
      <c r="I2" s="668" t="s">
        <v>101</v>
      </c>
      <c r="J2" s="668" t="s">
        <v>102</v>
      </c>
      <c r="K2" s="668" t="s">
        <v>103</v>
      </c>
      <c r="L2" s="668" t="s">
        <v>104</v>
      </c>
      <c r="M2" s="668" t="s">
        <v>345</v>
      </c>
      <c r="N2" s="668" t="s">
        <v>376</v>
      </c>
      <c r="O2" s="668" t="s">
        <v>451</v>
      </c>
      <c r="P2" s="752" t="s">
        <v>422</v>
      </c>
      <c r="Q2" s="668" t="s">
        <v>519</v>
      </c>
      <c r="R2" s="682" t="s">
        <v>483</v>
      </c>
    </row>
    <row r="3" spans="1:18" ht="25.5" customHeight="1" thickBot="1">
      <c r="A3" s="794"/>
      <c r="B3" s="780"/>
      <c r="C3" s="751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753"/>
      <c r="Q3" s="669"/>
      <c r="R3" s="683"/>
    </row>
    <row r="4" spans="1:18" ht="14.25" thickBot="1" thickTop="1">
      <c r="A4" s="155" t="s">
        <v>75</v>
      </c>
      <c r="B4" s="788" t="s">
        <v>69</v>
      </c>
      <c r="C4" s="789"/>
      <c r="D4" s="156">
        <f aca="true" t="shared" si="0" ref="D4:P4">SUM(D5:D11)</f>
        <v>477793</v>
      </c>
      <c r="E4" s="156">
        <f t="shared" si="0"/>
        <v>470856</v>
      </c>
      <c r="F4" s="156">
        <f t="shared" si="0"/>
        <v>334085</v>
      </c>
      <c r="G4" s="156">
        <f t="shared" si="0"/>
        <v>1303204</v>
      </c>
      <c r="H4" s="156">
        <f t="shared" si="0"/>
        <v>978096</v>
      </c>
      <c r="I4" s="156">
        <f t="shared" si="0"/>
        <v>1356608</v>
      </c>
      <c r="J4" s="156">
        <f t="shared" si="0"/>
        <v>1191263</v>
      </c>
      <c r="K4" s="156">
        <f t="shared" si="0"/>
        <v>977990</v>
      </c>
      <c r="L4" s="157">
        <f t="shared" si="0"/>
        <v>439019.94999999995</v>
      </c>
      <c r="M4" s="157">
        <f t="shared" si="0"/>
        <v>540080.3</v>
      </c>
      <c r="N4" s="521">
        <f>SUM(N5:N11)</f>
        <v>2548753.6599999997</v>
      </c>
      <c r="O4" s="548">
        <f>SUM(O5:O11)</f>
        <v>484835.82</v>
      </c>
      <c r="P4" s="522">
        <f t="shared" si="0"/>
        <v>828308</v>
      </c>
      <c r="Q4" s="637">
        <f>SUM(Q5:Q11)</f>
        <v>849215.54</v>
      </c>
      <c r="R4" s="607">
        <f aca="true" t="shared" si="1" ref="R4:R12">IF(P4=0,0,Q4/P4)*100</f>
        <v>102.52412629118636</v>
      </c>
    </row>
    <row r="5" spans="1:20" ht="12.75">
      <c r="A5" s="790"/>
      <c r="B5" s="158"/>
      <c r="C5" s="158" t="s">
        <v>257</v>
      </c>
      <c r="D5" s="158">
        <v>307741</v>
      </c>
      <c r="E5" s="158">
        <v>188873</v>
      </c>
      <c r="F5" s="158">
        <v>209516</v>
      </c>
      <c r="G5" s="158">
        <v>326854</v>
      </c>
      <c r="H5" s="158">
        <v>199897</v>
      </c>
      <c r="I5" s="158">
        <v>22394</v>
      </c>
      <c r="J5" s="159">
        <v>122620</v>
      </c>
      <c r="K5" s="160">
        <v>207083</v>
      </c>
      <c r="L5" s="161">
        <v>173080.99</v>
      </c>
      <c r="M5" s="161">
        <v>233161.19</v>
      </c>
      <c r="N5" s="467">
        <v>1839260.43</v>
      </c>
      <c r="O5" s="549">
        <v>338571.97</v>
      </c>
      <c r="P5" s="439">
        <v>376000</v>
      </c>
      <c r="Q5" s="524">
        <v>367612.56</v>
      </c>
      <c r="R5" s="608">
        <f t="shared" si="1"/>
        <v>97.76929787234042</v>
      </c>
      <c r="T5" s="406"/>
    </row>
    <row r="6" spans="1:18" ht="12.75">
      <c r="A6" s="791"/>
      <c r="B6" s="162"/>
      <c r="C6" s="163" t="s">
        <v>258</v>
      </c>
      <c r="D6" s="163"/>
      <c r="E6" s="163"/>
      <c r="F6" s="163"/>
      <c r="G6" s="163"/>
      <c r="H6" s="163">
        <v>490783</v>
      </c>
      <c r="I6" s="163">
        <v>1098574</v>
      </c>
      <c r="J6" s="164">
        <v>733308</v>
      </c>
      <c r="K6" s="165">
        <v>631012</v>
      </c>
      <c r="L6" s="166">
        <v>171789.61</v>
      </c>
      <c r="M6" s="166">
        <v>233027.7</v>
      </c>
      <c r="N6" s="468">
        <v>497600.75</v>
      </c>
      <c r="O6" s="550"/>
      <c r="P6" s="85">
        <v>363308</v>
      </c>
      <c r="Q6" s="525">
        <v>363308.49</v>
      </c>
      <c r="R6" s="609">
        <f t="shared" si="1"/>
        <v>100.00013487178923</v>
      </c>
    </row>
    <row r="7" spans="1:18" ht="12.75">
      <c r="A7" s="791"/>
      <c r="B7" s="167"/>
      <c r="C7" s="106" t="s">
        <v>259</v>
      </c>
      <c r="D7" s="106"/>
      <c r="E7" s="106"/>
      <c r="F7" s="106"/>
      <c r="G7" s="106"/>
      <c r="H7" s="106">
        <v>52527</v>
      </c>
      <c r="I7" s="106">
        <v>53214</v>
      </c>
      <c r="J7" s="85">
        <v>53736</v>
      </c>
      <c r="K7" s="165">
        <v>54692</v>
      </c>
      <c r="L7" s="166">
        <v>59829.25</v>
      </c>
      <c r="M7" s="166">
        <v>73891.41</v>
      </c>
      <c r="N7" s="468">
        <v>74759.43</v>
      </c>
      <c r="O7" s="550">
        <v>75808.05</v>
      </c>
      <c r="P7" s="165">
        <v>75000</v>
      </c>
      <c r="Q7" s="526">
        <v>76653.59</v>
      </c>
      <c r="R7" s="610">
        <f t="shared" si="1"/>
        <v>102.20478666666666</v>
      </c>
    </row>
    <row r="8" spans="1:20" ht="12.75">
      <c r="A8" s="791"/>
      <c r="B8" s="168"/>
      <c r="C8" s="499" t="s">
        <v>401</v>
      </c>
      <c r="D8" s="169">
        <v>2622</v>
      </c>
      <c r="E8" s="169">
        <v>6805</v>
      </c>
      <c r="F8" s="169">
        <v>5206</v>
      </c>
      <c r="G8" s="169">
        <v>73230</v>
      </c>
      <c r="H8" s="169">
        <v>22330</v>
      </c>
      <c r="I8" s="169">
        <v>7462</v>
      </c>
      <c r="J8" s="170"/>
      <c r="K8" s="85"/>
      <c r="L8" s="171"/>
      <c r="M8" s="171"/>
      <c r="N8" s="86">
        <v>114400.25</v>
      </c>
      <c r="O8" s="551"/>
      <c r="P8" s="85">
        <v>0</v>
      </c>
      <c r="Q8" s="525"/>
      <c r="R8" s="609">
        <f t="shared" si="1"/>
        <v>0</v>
      </c>
      <c r="T8" s="2"/>
    </row>
    <row r="9" spans="1:20" ht="12.75">
      <c r="A9" s="791"/>
      <c r="B9" s="168"/>
      <c r="C9" s="499" t="s">
        <v>402</v>
      </c>
      <c r="D9" s="169"/>
      <c r="E9" s="169"/>
      <c r="F9" s="169"/>
      <c r="G9" s="169"/>
      <c r="H9" s="169"/>
      <c r="I9" s="169"/>
      <c r="J9" s="170"/>
      <c r="K9" s="85"/>
      <c r="L9" s="171"/>
      <c r="M9" s="171"/>
      <c r="N9" s="86">
        <v>11332.8</v>
      </c>
      <c r="O9" s="551"/>
      <c r="P9" s="85">
        <v>14000</v>
      </c>
      <c r="Q9" s="525">
        <v>14992.5</v>
      </c>
      <c r="R9" s="609">
        <f t="shared" si="1"/>
        <v>107.08928571428571</v>
      </c>
      <c r="T9" s="2"/>
    </row>
    <row r="10" spans="1:18" ht="12.75">
      <c r="A10" s="791"/>
      <c r="B10" s="167"/>
      <c r="C10" s="167" t="s">
        <v>260</v>
      </c>
      <c r="D10" s="167"/>
      <c r="E10" s="167">
        <v>275178</v>
      </c>
      <c r="F10" s="167"/>
      <c r="G10" s="167">
        <v>903120</v>
      </c>
      <c r="H10" s="167">
        <v>212559</v>
      </c>
      <c r="I10" s="167">
        <v>174964</v>
      </c>
      <c r="J10" s="172">
        <v>281599</v>
      </c>
      <c r="K10" s="172">
        <v>85203</v>
      </c>
      <c r="L10" s="173">
        <v>34320.1</v>
      </c>
      <c r="M10" s="173">
        <v>0</v>
      </c>
      <c r="N10" s="469"/>
      <c r="O10" s="552">
        <v>70455.80000000005</v>
      </c>
      <c r="P10" s="172">
        <v>0</v>
      </c>
      <c r="Q10" s="527"/>
      <c r="R10" s="611">
        <f t="shared" si="1"/>
        <v>0</v>
      </c>
    </row>
    <row r="11" spans="1:18" ht="13.5" thickBot="1">
      <c r="A11" s="792"/>
      <c r="B11" s="174"/>
      <c r="C11" s="167" t="s">
        <v>389</v>
      </c>
      <c r="D11" s="174">
        <v>167430</v>
      </c>
      <c r="E11" s="174">
        <v>0</v>
      </c>
      <c r="F11" s="174">
        <v>119363</v>
      </c>
      <c r="G11" s="174"/>
      <c r="H11" s="174"/>
      <c r="I11" s="174"/>
      <c r="J11" s="175"/>
      <c r="K11" s="175"/>
      <c r="L11" s="176"/>
      <c r="M11" s="176">
        <v>0</v>
      </c>
      <c r="N11" s="470">
        <v>11400</v>
      </c>
      <c r="O11" s="553"/>
      <c r="P11" s="175">
        <v>0</v>
      </c>
      <c r="Q11" s="528">
        <f>29320+4111.6-3391.6-3391.6</f>
        <v>26648.4</v>
      </c>
      <c r="R11" s="612">
        <f t="shared" si="1"/>
        <v>0</v>
      </c>
    </row>
    <row r="12" spans="1:18" ht="14.25" thickBot="1" thickTop="1">
      <c r="A12" s="782" t="s">
        <v>254</v>
      </c>
      <c r="B12" s="783"/>
      <c r="C12" s="784"/>
      <c r="D12" s="150">
        <f aca="true" t="shared" si="2" ref="D12:P12">D4</f>
        <v>477793</v>
      </c>
      <c r="E12" s="150">
        <f t="shared" si="2"/>
        <v>470856</v>
      </c>
      <c r="F12" s="150">
        <f t="shared" si="2"/>
        <v>334085</v>
      </c>
      <c r="G12" s="150">
        <f t="shared" si="2"/>
        <v>1303204</v>
      </c>
      <c r="H12" s="150">
        <f t="shared" si="2"/>
        <v>978096</v>
      </c>
      <c r="I12" s="150">
        <f t="shared" si="2"/>
        <v>1356608</v>
      </c>
      <c r="J12" s="150">
        <f t="shared" si="2"/>
        <v>1191263</v>
      </c>
      <c r="K12" s="150">
        <f t="shared" si="2"/>
        <v>977990</v>
      </c>
      <c r="L12" s="151">
        <f t="shared" si="2"/>
        <v>439019.94999999995</v>
      </c>
      <c r="M12" s="151">
        <f t="shared" si="2"/>
        <v>540080.3</v>
      </c>
      <c r="N12" s="523">
        <f t="shared" si="2"/>
        <v>2548753.6599999997</v>
      </c>
      <c r="O12" s="151">
        <f t="shared" si="2"/>
        <v>484835.82</v>
      </c>
      <c r="P12" s="150">
        <f t="shared" si="2"/>
        <v>828308</v>
      </c>
      <c r="Q12" s="151">
        <f>Q4</f>
        <v>849215.54</v>
      </c>
      <c r="R12" s="606">
        <f t="shared" si="1"/>
        <v>102.52412629118636</v>
      </c>
    </row>
    <row r="13" ht="13.5" thickTop="1"/>
    <row r="14" spans="12:17" ht="12.75">
      <c r="L14" s="406"/>
      <c r="M14" s="406"/>
      <c r="N14" s="406"/>
      <c r="O14" s="406"/>
      <c r="P14" s="406"/>
      <c r="Q14" s="406"/>
    </row>
    <row r="17" ht="12.75">
      <c r="Q17" s="406"/>
    </row>
    <row r="20" ht="12.75">
      <c r="Q20" s="406"/>
    </row>
    <row r="25" ht="12.75">
      <c r="Q25" s="406"/>
    </row>
  </sheetData>
  <sheetProtection/>
  <mergeCells count="22">
    <mergeCell ref="A12:C12"/>
    <mergeCell ref="B4:C4"/>
    <mergeCell ref="M2:M3"/>
    <mergeCell ref="A2:A3"/>
    <mergeCell ref="B2:B3"/>
    <mergeCell ref="C2:C3"/>
    <mergeCell ref="F2:F3"/>
    <mergeCell ref="D2:D3"/>
    <mergeCell ref="R2:R3"/>
    <mergeCell ref="A5:A11"/>
    <mergeCell ref="G2:G3"/>
    <mergeCell ref="N2:N3"/>
    <mergeCell ref="I2:I3"/>
    <mergeCell ref="Q2:Q3"/>
    <mergeCell ref="A1:J1"/>
    <mergeCell ref="H2:H3"/>
    <mergeCell ref="P2:P3"/>
    <mergeCell ref="L2:L3"/>
    <mergeCell ref="J2:J3"/>
    <mergeCell ref="K2:K3"/>
    <mergeCell ref="E2:E3"/>
    <mergeCell ref="O2:O3"/>
  </mergeCells>
  <printOptions/>
  <pageMargins left="0.35433070866141736" right="0.35433070866141736" top="0.3937007874015748" bottom="0.984251968503937" header="0.31496062992125984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75"/>
  <sheetViews>
    <sheetView zoomScalePageLayoutView="0" workbookViewId="0" topLeftCell="M1">
      <selection activeCell="S7" sqref="S7"/>
    </sheetView>
  </sheetViews>
  <sheetFormatPr defaultColWidth="9.140625" defaultRowHeight="12.75"/>
  <cols>
    <col min="1" max="1" width="47.57421875" style="0" customWidth="1"/>
    <col min="2" max="11" width="14.421875" style="0" hidden="1" customWidth="1"/>
    <col min="12" max="12" width="15.28125" style="0" hidden="1" customWidth="1"/>
    <col min="13" max="13" width="15.28125" style="0" customWidth="1"/>
    <col min="14" max="15" width="15.57421875" style="0" customWidth="1"/>
    <col min="16" max="16" width="9.8515625" style="0" customWidth="1"/>
    <col min="18" max="18" width="15.57421875" style="0" customWidth="1"/>
  </cols>
  <sheetData>
    <row r="1" spans="1:16" ht="15">
      <c r="A1" s="809" t="s">
        <v>331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</row>
    <row r="2" spans="1:15" ht="13.5" thickBot="1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152"/>
      <c r="M2" s="152"/>
      <c r="N2" s="153"/>
      <c r="O2" s="153"/>
    </row>
    <row r="3" spans="1:16" ht="20.25" customHeight="1" thickTop="1">
      <c r="A3" s="810" t="s">
        <v>95</v>
      </c>
      <c r="B3" s="668" t="s">
        <v>189</v>
      </c>
      <c r="C3" s="668" t="s">
        <v>190</v>
      </c>
      <c r="D3" s="668" t="s">
        <v>191</v>
      </c>
      <c r="E3" s="668" t="s">
        <v>192</v>
      </c>
      <c r="F3" s="668" t="s">
        <v>193</v>
      </c>
      <c r="G3" s="668" t="s">
        <v>101</v>
      </c>
      <c r="H3" s="668" t="s">
        <v>102</v>
      </c>
      <c r="I3" s="668" t="s">
        <v>103</v>
      </c>
      <c r="J3" s="668" t="s">
        <v>104</v>
      </c>
      <c r="K3" s="668" t="s">
        <v>345</v>
      </c>
      <c r="L3" s="668" t="s">
        <v>376</v>
      </c>
      <c r="M3" s="668" t="s">
        <v>451</v>
      </c>
      <c r="N3" s="752" t="s">
        <v>484</v>
      </c>
      <c r="O3" s="668" t="s">
        <v>519</v>
      </c>
      <c r="P3" s="682" t="s">
        <v>483</v>
      </c>
    </row>
    <row r="4" spans="1:16" ht="20.25" customHeight="1" thickBot="1">
      <c r="A4" s="811"/>
      <c r="B4" s="795"/>
      <c r="C4" s="795"/>
      <c r="D4" s="795"/>
      <c r="E4" s="795"/>
      <c r="F4" s="795"/>
      <c r="G4" s="795"/>
      <c r="H4" s="795"/>
      <c r="I4" s="795"/>
      <c r="J4" s="795"/>
      <c r="K4" s="795"/>
      <c r="L4" s="795"/>
      <c r="M4" s="795"/>
      <c r="N4" s="808"/>
      <c r="O4" s="795"/>
      <c r="P4" s="683"/>
    </row>
    <row r="5" spans="1:18" ht="13.5" thickTop="1">
      <c r="A5" s="408" t="s">
        <v>332</v>
      </c>
      <c r="B5" s="409">
        <f>'Bežné príjmy'!D111</f>
        <v>7125871</v>
      </c>
      <c r="C5" s="409">
        <f>'Bežné príjmy'!E111</f>
        <v>7561840</v>
      </c>
      <c r="D5" s="409">
        <f>'Bežné príjmy'!F111</f>
        <v>9082354</v>
      </c>
      <c r="E5" s="409">
        <f>'Bežné príjmy'!G111</f>
        <v>9080838</v>
      </c>
      <c r="F5" s="409">
        <f>'Bežné príjmy'!H111</f>
        <v>8537685</v>
      </c>
      <c r="G5" s="409">
        <f>'Bežné príjmy'!I111</f>
        <v>9096722</v>
      </c>
      <c r="H5" s="409">
        <f>'Bežné príjmy'!J111</f>
        <v>9201831</v>
      </c>
      <c r="I5" s="409">
        <f>'Bežné príjmy'!K111</f>
        <v>9722622</v>
      </c>
      <c r="J5" s="409">
        <f>'Bežné príjmy'!L111</f>
        <v>9640328.239999998</v>
      </c>
      <c r="K5" s="435">
        <f>'Bežné príjmy'!M111</f>
        <v>10178626.01</v>
      </c>
      <c r="L5" s="435">
        <f>'Bežné príjmy'!N111</f>
        <v>10784511.560000002</v>
      </c>
      <c r="M5" s="435">
        <f>'Bežné príjmy'!O111</f>
        <v>10947590.020000001</v>
      </c>
      <c r="N5" s="409">
        <f>'Bežné príjmy'!P111</f>
        <v>11784690</v>
      </c>
      <c r="O5" s="626">
        <f>'Bežné príjmy'!Q111</f>
        <v>11835790.83</v>
      </c>
      <c r="P5" s="622">
        <f>IF(N5=0,0,O5/N5)*100</f>
        <v>100.43362048556219</v>
      </c>
      <c r="Q5" s="2"/>
      <c r="R5" s="406"/>
    </row>
    <row r="6" spans="1:18" ht="13.5" thickBot="1">
      <c r="A6" s="410" t="s">
        <v>333</v>
      </c>
      <c r="B6" s="175">
        <f>'bežné výdavky'!D205</f>
        <v>5867125</v>
      </c>
      <c r="C6" s="175">
        <f>'bežné výdavky'!E205</f>
        <v>6460200</v>
      </c>
      <c r="D6" s="175">
        <f>'bežné výdavky'!F205</f>
        <v>7832271</v>
      </c>
      <c r="E6" s="175">
        <f>'bežné výdavky'!G205</f>
        <v>8716285.43</v>
      </c>
      <c r="F6" s="175">
        <f>'bežné výdavky'!H205</f>
        <v>9309387</v>
      </c>
      <c r="G6" s="175">
        <f>'bežné výdavky'!I205</f>
        <v>8743512.2</v>
      </c>
      <c r="H6" s="175">
        <f>'bežné výdavky'!J205</f>
        <v>8908071</v>
      </c>
      <c r="I6" s="175">
        <f>'bežné výdavky'!K205</f>
        <v>8934542</v>
      </c>
      <c r="J6" s="175">
        <f>'bežné výdavky'!L205</f>
        <v>9572545.38</v>
      </c>
      <c r="K6" s="176">
        <f>'bežné výdavky'!M205</f>
        <v>9554914.799999999</v>
      </c>
      <c r="L6" s="176">
        <f>'bežné výdavky'!N205</f>
        <v>9695081.340000002</v>
      </c>
      <c r="M6" s="176">
        <f>'bežné výdavky'!O205</f>
        <v>10029044.959999999</v>
      </c>
      <c r="N6" s="175">
        <f>'bežné výdavky'!P205</f>
        <v>11034612</v>
      </c>
      <c r="O6" s="627">
        <f>'bežné výdavky'!Q205</f>
        <v>10815176.069999998</v>
      </c>
      <c r="P6" s="612">
        <f>IF(N6=0,0,O6/N6)*100</f>
        <v>98.01138517602611</v>
      </c>
      <c r="Q6" s="2"/>
      <c r="R6" s="2"/>
    </row>
    <row r="7" spans="1:18" ht="15.75" thickBot="1">
      <c r="A7" s="411" t="s">
        <v>334</v>
      </c>
      <c r="B7" s="412">
        <f aca="true" t="shared" si="0" ref="B7:K7">B5-B6</f>
        <v>1258746</v>
      </c>
      <c r="C7" s="412">
        <f t="shared" si="0"/>
        <v>1101640</v>
      </c>
      <c r="D7" s="412">
        <f t="shared" si="0"/>
        <v>1250083</v>
      </c>
      <c r="E7" s="412">
        <f t="shared" si="0"/>
        <v>364552.5700000003</v>
      </c>
      <c r="F7" s="412">
        <f t="shared" si="0"/>
        <v>-771702</v>
      </c>
      <c r="G7" s="412">
        <f t="shared" si="0"/>
        <v>353209.80000000075</v>
      </c>
      <c r="H7" s="412">
        <f t="shared" si="0"/>
        <v>293760</v>
      </c>
      <c r="I7" s="412">
        <f t="shared" si="0"/>
        <v>788080</v>
      </c>
      <c r="J7" s="413">
        <f t="shared" si="0"/>
        <v>67782.85999999754</v>
      </c>
      <c r="K7" s="413">
        <f t="shared" si="0"/>
        <v>623711.2100000009</v>
      </c>
      <c r="L7" s="413">
        <f>L5-L6</f>
        <v>1089430.2200000007</v>
      </c>
      <c r="M7" s="413">
        <f>M5-M6</f>
        <v>918545.0600000024</v>
      </c>
      <c r="N7" s="412">
        <f>N5-N6</f>
        <v>750078</v>
      </c>
      <c r="O7" s="628">
        <f>O5-O6</f>
        <v>1020614.7600000016</v>
      </c>
      <c r="P7" s="414"/>
      <c r="R7" s="2"/>
    </row>
    <row r="8" spans="1:18" ht="14.25" thickBot="1" thickTop="1">
      <c r="A8" s="805"/>
      <c r="B8" s="806"/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806"/>
      <c r="P8" s="807"/>
      <c r="R8" s="2"/>
    </row>
    <row r="9" spans="1:18" ht="13.5" thickTop="1">
      <c r="A9" s="408" t="s">
        <v>335</v>
      </c>
      <c r="B9" s="409">
        <f>'Kapitálové príjmy'!D53</f>
        <v>2113092</v>
      </c>
      <c r="C9" s="409">
        <f>'Kapitálové príjmy'!E53</f>
        <v>1017958</v>
      </c>
      <c r="D9" s="409">
        <f>'Kapitálové príjmy'!F53</f>
        <v>1245369</v>
      </c>
      <c r="E9" s="409">
        <f>'Kapitálové príjmy'!G53</f>
        <v>4391413</v>
      </c>
      <c r="F9" s="409">
        <f>'Kapitálové príjmy'!H53</f>
        <v>3456141</v>
      </c>
      <c r="G9" s="409">
        <f>'Kapitálové príjmy'!I53</f>
        <v>4649713</v>
      </c>
      <c r="H9" s="409">
        <f>'Kapitálové príjmy'!J53</f>
        <v>4502774.06</v>
      </c>
      <c r="I9" s="409">
        <f>'Kapitálové príjmy'!K53</f>
        <v>3678497</v>
      </c>
      <c r="J9" s="409">
        <f>'Kapitálové príjmy'!L53</f>
        <v>1218338.5899999999</v>
      </c>
      <c r="K9" s="435">
        <f>'Kapitálové príjmy'!M53</f>
        <v>752297.52</v>
      </c>
      <c r="L9" s="435">
        <f>'Kapitálové príjmy'!N53</f>
        <v>931536.18</v>
      </c>
      <c r="M9" s="435">
        <f>'Kapitálové príjmy'!O53</f>
        <v>1696241.7999999998</v>
      </c>
      <c r="N9" s="409">
        <f>'Kapitálové príjmy'!P53</f>
        <v>2118511</v>
      </c>
      <c r="O9" s="626">
        <f>'Kapitálové príjmy'!Q53</f>
        <v>2123247.52</v>
      </c>
      <c r="P9" s="622">
        <f>IF(N9=0,0,O9/N9)*100</f>
        <v>100.22357778647361</v>
      </c>
      <c r="R9" s="2"/>
    </row>
    <row r="10" spans="1:18" ht="13.5" thickBot="1">
      <c r="A10" s="410" t="s">
        <v>336</v>
      </c>
      <c r="B10" s="175">
        <f>'Kapitálové výdavky'!D142</f>
        <v>2988050</v>
      </c>
      <c r="C10" s="175">
        <f>'Kapitálové výdavky'!E142</f>
        <v>1793069</v>
      </c>
      <c r="D10" s="175">
        <f>'Kapitálové výdavky'!F142</f>
        <v>2942409</v>
      </c>
      <c r="E10" s="175">
        <f>'Kapitálové výdavky'!G142</f>
        <v>4880528</v>
      </c>
      <c r="F10" s="175">
        <f>'Kapitálové výdavky'!H142</f>
        <v>5977301</v>
      </c>
      <c r="G10" s="175">
        <f>'Kapitálové výdavky'!I142</f>
        <v>5818483</v>
      </c>
      <c r="H10" s="175">
        <f>'Kapitálové výdavky'!J142</f>
        <v>4719096</v>
      </c>
      <c r="I10" s="175">
        <f>'Kapitálové výdavky'!K142</f>
        <v>3939694</v>
      </c>
      <c r="J10" s="175">
        <f>'Kapitálové výdavky'!L142</f>
        <v>1800938.79</v>
      </c>
      <c r="K10" s="176">
        <f>'Kapitálové výdavky'!M142</f>
        <v>2883605.860000001</v>
      </c>
      <c r="L10" s="176">
        <f>'Kapitálové výdavky'!N142</f>
        <v>1348818.6500000001</v>
      </c>
      <c r="M10" s="176">
        <f>'Kapitálové výdavky'!O142</f>
        <v>1900647.68</v>
      </c>
      <c r="N10" s="175">
        <f>'Kapitálové výdavky'!P142</f>
        <v>3477543</v>
      </c>
      <c r="O10" s="627">
        <f>'Kapitálové výdavky'!Q142</f>
        <v>2329182.13</v>
      </c>
      <c r="P10" s="612">
        <f>IF(N10=0,0,O10/N10)*100</f>
        <v>66.97780962018298</v>
      </c>
      <c r="R10" s="2"/>
    </row>
    <row r="11" spans="1:18" ht="15.75" thickBot="1">
      <c r="A11" s="415" t="s">
        <v>337</v>
      </c>
      <c r="B11" s="416">
        <f aca="true" t="shared" si="1" ref="B11:K11">B9-B10</f>
        <v>-874958</v>
      </c>
      <c r="C11" s="416">
        <f t="shared" si="1"/>
        <v>-775111</v>
      </c>
      <c r="D11" s="416">
        <f t="shared" si="1"/>
        <v>-1697040</v>
      </c>
      <c r="E11" s="416">
        <f t="shared" si="1"/>
        <v>-489115</v>
      </c>
      <c r="F11" s="416">
        <f t="shared" si="1"/>
        <v>-2521160</v>
      </c>
      <c r="G11" s="416">
        <f t="shared" si="1"/>
        <v>-1168770</v>
      </c>
      <c r="H11" s="416">
        <f t="shared" si="1"/>
        <v>-216321.9400000004</v>
      </c>
      <c r="I11" s="416">
        <f t="shared" si="1"/>
        <v>-261197</v>
      </c>
      <c r="J11" s="417">
        <f t="shared" si="1"/>
        <v>-582600.2000000002</v>
      </c>
      <c r="K11" s="417">
        <f t="shared" si="1"/>
        <v>-2131308.340000001</v>
      </c>
      <c r="L11" s="417">
        <f>L9-L10</f>
        <v>-417282.4700000001</v>
      </c>
      <c r="M11" s="417">
        <f>M9-M10</f>
        <v>-204405.88000000012</v>
      </c>
      <c r="N11" s="416">
        <f>N9-N10</f>
        <v>-1359032</v>
      </c>
      <c r="O11" s="629">
        <f>O9-O10</f>
        <v>-205934.60999999987</v>
      </c>
      <c r="P11" s="418"/>
      <c r="R11" s="2"/>
    </row>
    <row r="12" spans="1:18" ht="14.25" thickBot="1" thickTop="1">
      <c r="A12" s="805"/>
      <c r="B12" s="806"/>
      <c r="C12" s="806"/>
      <c r="D12" s="806"/>
      <c r="E12" s="806"/>
      <c r="F12" s="806"/>
      <c r="G12" s="806"/>
      <c r="H12" s="806"/>
      <c r="I12" s="806"/>
      <c r="J12" s="806"/>
      <c r="K12" s="806"/>
      <c r="L12" s="806"/>
      <c r="M12" s="806"/>
      <c r="N12" s="806"/>
      <c r="O12" s="806"/>
      <c r="P12" s="807"/>
      <c r="R12" s="2"/>
    </row>
    <row r="13" spans="1:18" ht="13.5" thickTop="1">
      <c r="A13" s="408" t="s">
        <v>338</v>
      </c>
      <c r="B13" s="409">
        <f>'Fin operácie - príjmy'!D17</f>
        <v>499436</v>
      </c>
      <c r="C13" s="409">
        <f>'Fin operácie - príjmy'!E17</f>
        <v>313085</v>
      </c>
      <c r="D13" s="409">
        <f>'Fin operácie - príjmy'!F17</f>
        <v>1640749</v>
      </c>
      <c r="E13" s="409">
        <f>'Fin operácie - príjmy'!G17</f>
        <v>2754938</v>
      </c>
      <c r="F13" s="409">
        <f>'Fin operácie - príjmy'!H17</f>
        <v>4479434</v>
      </c>
      <c r="G13" s="409">
        <f>'Fin operácie - príjmy'!I17</f>
        <v>2266668</v>
      </c>
      <c r="H13" s="409">
        <f>'Fin operácie - príjmy'!J17</f>
        <v>1305406</v>
      </c>
      <c r="I13" s="409">
        <f>'Fin operácie - príjmy'!K17</f>
        <v>1509534</v>
      </c>
      <c r="J13" s="409">
        <f>'Fin operácie - príjmy'!L17</f>
        <v>1300969.13</v>
      </c>
      <c r="K13" s="435">
        <f>'Fin operácie - príjmy'!M17</f>
        <v>2766561.36</v>
      </c>
      <c r="L13" s="435">
        <f>'Fin operácie - príjmy'!N17</f>
        <v>2492133.9299999997</v>
      </c>
      <c r="M13" s="435">
        <f>'Fin operácie - príjmy'!O17</f>
        <v>1267177.12</v>
      </c>
      <c r="N13" s="409">
        <f>'Fin operácie - príjmy'!P17</f>
        <v>1438544</v>
      </c>
      <c r="O13" s="626">
        <f>'Fin operácie - príjmy'!Q17</f>
        <v>1389578.65</v>
      </c>
      <c r="P13" s="622">
        <f>IF(N13=0,0,O13/N13)*100</f>
        <v>96.5961868389149</v>
      </c>
      <c r="R13" s="2"/>
    </row>
    <row r="14" spans="1:18" ht="13.5" thickBot="1">
      <c r="A14" s="410" t="s">
        <v>339</v>
      </c>
      <c r="B14" s="175">
        <f>'Finančné operácie - výdavky'!D12</f>
        <v>477793</v>
      </c>
      <c r="C14" s="175">
        <f>'Finančné operácie - výdavky'!E12</f>
        <v>470856</v>
      </c>
      <c r="D14" s="175">
        <f>'Finančné operácie - výdavky'!F12</f>
        <v>334085</v>
      </c>
      <c r="E14" s="175">
        <f>'Finančné operácie - výdavky'!G12</f>
        <v>1303204</v>
      </c>
      <c r="F14" s="175">
        <f>'Finančné operácie - výdavky'!H12</f>
        <v>978096</v>
      </c>
      <c r="G14" s="175">
        <f>'Finančné operácie - výdavky'!I12</f>
        <v>1356608</v>
      </c>
      <c r="H14" s="175">
        <f>'Finančné operácie - výdavky'!J12</f>
        <v>1191263</v>
      </c>
      <c r="I14" s="175">
        <f>'Finančné operácie - výdavky'!K12</f>
        <v>977990</v>
      </c>
      <c r="J14" s="175">
        <f>'Finančné operácie - výdavky'!L12</f>
        <v>439019.94999999995</v>
      </c>
      <c r="K14" s="176">
        <f>'Finančné operácie - výdavky'!M12</f>
        <v>540080.3</v>
      </c>
      <c r="L14" s="176">
        <f>'Finančné operácie - výdavky'!N12</f>
        <v>2548753.6599999997</v>
      </c>
      <c r="M14" s="176">
        <f>'Finančné operácie - výdavky'!O12</f>
        <v>484835.82</v>
      </c>
      <c r="N14" s="175">
        <f>'Finančné operácie - výdavky'!P12</f>
        <v>828308</v>
      </c>
      <c r="O14" s="627">
        <f>'Finančné operácie - výdavky'!Q12</f>
        <v>849215.54</v>
      </c>
      <c r="P14" s="612">
        <f>IF(N14=0,0,O14/N14)*100</f>
        <v>102.52412629118636</v>
      </c>
      <c r="R14" s="2"/>
    </row>
    <row r="15" spans="1:16" ht="15.75" thickBot="1">
      <c r="A15" s="415" t="s">
        <v>232</v>
      </c>
      <c r="B15" s="416">
        <f aca="true" t="shared" si="2" ref="B15:K15">B13-B14</f>
        <v>21643</v>
      </c>
      <c r="C15" s="416">
        <f t="shared" si="2"/>
        <v>-157771</v>
      </c>
      <c r="D15" s="416">
        <f t="shared" si="2"/>
        <v>1306664</v>
      </c>
      <c r="E15" s="416">
        <f t="shared" si="2"/>
        <v>1451734</v>
      </c>
      <c r="F15" s="416">
        <f t="shared" si="2"/>
        <v>3501338</v>
      </c>
      <c r="G15" s="416">
        <f t="shared" si="2"/>
        <v>910060</v>
      </c>
      <c r="H15" s="416">
        <f t="shared" si="2"/>
        <v>114143</v>
      </c>
      <c r="I15" s="416">
        <f t="shared" si="2"/>
        <v>531544</v>
      </c>
      <c r="J15" s="417">
        <f t="shared" si="2"/>
        <v>861949.1799999999</v>
      </c>
      <c r="K15" s="417">
        <f t="shared" si="2"/>
        <v>2226481.0599999996</v>
      </c>
      <c r="L15" s="417">
        <f>L13-L14</f>
        <v>-56619.72999999998</v>
      </c>
      <c r="M15" s="417">
        <f>M13-M14</f>
        <v>782341.3</v>
      </c>
      <c r="N15" s="416">
        <f>N13-N14</f>
        <v>610236</v>
      </c>
      <c r="O15" s="629">
        <f>O13-O14</f>
        <v>540363.1099999999</v>
      </c>
      <c r="P15" s="418"/>
    </row>
    <row r="16" spans="1:20" ht="14.25" thickBot="1" thickTop="1">
      <c r="A16" s="802"/>
      <c r="B16" s="803"/>
      <c r="C16" s="803"/>
      <c r="D16" s="803"/>
      <c r="E16" s="803"/>
      <c r="F16" s="803"/>
      <c r="G16" s="803"/>
      <c r="H16" s="803"/>
      <c r="I16" s="803"/>
      <c r="J16" s="803"/>
      <c r="K16" s="803"/>
      <c r="L16" s="803"/>
      <c r="M16" s="803"/>
      <c r="N16" s="803"/>
      <c r="O16" s="803"/>
      <c r="P16" s="804"/>
      <c r="R16" s="2"/>
      <c r="T16" s="406"/>
    </row>
    <row r="17" spans="1:18" ht="16.5" customHeight="1" thickTop="1">
      <c r="A17" s="796" t="s">
        <v>233</v>
      </c>
      <c r="B17" s="797"/>
      <c r="C17" s="797"/>
      <c r="D17" s="797"/>
      <c r="E17" s="797"/>
      <c r="F17" s="797"/>
      <c r="G17" s="797"/>
      <c r="H17" s="797"/>
      <c r="I17" s="797"/>
      <c r="J17" s="797"/>
      <c r="K17" s="797"/>
      <c r="L17" s="797"/>
      <c r="M17" s="797"/>
      <c r="N17" s="797"/>
      <c r="O17" s="797"/>
      <c r="P17" s="798"/>
      <c r="R17" s="2"/>
    </row>
    <row r="18" spans="1:16" ht="13.5" thickBot="1">
      <c r="A18" s="799"/>
      <c r="B18" s="800"/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1"/>
    </row>
    <row r="19" spans="1:16" ht="17.25" thickBot="1" thickTop="1">
      <c r="A19" s="419" t="s">
        <v>234</v>
      </c>
      <c r="B19" s="420">
        <f aca="true" t="shared" si="3" ref="B19:J19">B7+B11+B15</f>
        <v>405431</v>
      </c>
      <c r="C19" s="420">
        <f t="shared" si="3"/>
        <v>168758</v>
      </c>
      <c r="D19" s="420">
        <f t="shared" si="3"/>
        <v>859707</v>
      </c>
      <c r="E19" s="420">
        <f t="shared" si="3"/>
        <v>1327171.5700000003</v>
      </c>
      <c r="F19" s="420">
        <f t="shared" si="3"/>
        <v>208476</v>
      </c>
      <c r="G19" s="420">
        <f t="shared" si="3"/>
        <v>94499.80000000075</v>
      </c>
      <c r="H19" s="420">
        <f t="shared" si="3"/>
        <v>191581.0599999996</v>
      </c>
      <c r="I19" s="420">
        <f t="shared" si="3"/>
        <v>1058427</v>
      </c>
      <c r="J19" s="421">
        <f t="shared" si="3"/>
        <v>347131.8399999973</v>
      </c>
      <c r="K19" s="421">
        <f>K7+K11+K15</f>
        <v>718883.9299999997</v>
      </c>
      <c r="L19" s="421">
        <f>L7+L11+L15</f>
        <v>615528.0200000006</v>
      </c>
      <c r="M19" s="421">
        <f>M7+M11+M15</f>
        <v>1496480.4800000023</v>
      </c>
      <c r="N19" s="441">
        <f>N15+N11+N7</f>
        <v>1282</v>
      </c>
      <c r="O19" s="630">
        <f>O7+O11+O15</f>
        <v>1355043.2600000016</v>
      </c>
      <c r="P19" s="440"/>
    </row>
    <row r="20" ht="13.5" thickTop="1"/>
    <row r="21" ht="13.5" customHeight="1">
      <c r="R21" s="2"/>
    </row>
    <row r="22" spans="13:16" ht="13.5" customHeight="1">
      <c r="M22" s="477"/>
      <c r="O22" s="638"/>
      <c r="P22" s="2"/>
    </row>
    <row r="23" spans="12:16" ht="13.5" customHeight="1">
      <c r="L23" s="2"/>
      <c r="M23" s="2"/>
      <c r="N23" s="2"/>
      <c r="O23" s="638"/>
      <c r="P23" s="2"/>
    </row>
    <row r="24" spans="12:16" ht="13.5" customHeight="1">
      <c r="L24" s="2"/>
      <c r="M24" s="2"/>
      <c r="N24" s="2"/>
      <c r="O24" s="2"/>
      <c r="P24" s="2"/>
    </row>
    <row r="25" ht="13.5" customHeight="1">
      <c r="L25" s="2"/>
    </row>
    <row r="26" ht="13.5" customHeight="1">
      <c r="P26" s="2"/>
    </row>
    <row r="27" ht="13.5" customHeight="1"/>
    <row r="28" spans="11:15" ht="13.5" customHeight="1">
      <c r="K28" s="2"/>
      <c r="L28" s="2"/>
      <c r="O28" s="406"/>
    </row>
    <row r="29" spans="11:15" ht="12.75">
      <c r="K29" s="2"/>
      <c r="L29" s="2"/>
      <c r="O29" s="406"/>
    </row>
    <row r="62" ht="12.75">
      <c r="J62">
        <f>SUM(J48:J61)</f>
        <v>0</v>
      </c>
    </row>
    <row r="66" spans="1:10" ht="12.75">
      <c r="A66" s="475"/>
      <c r="J66">
        <v>12000</v>
      </c>
    </row>
    <row r="67" ht="12.75">
      <c r="J67">
        <v>5000</v>
      </c>
    </row>
    <row r="68" ht="12.75">
      <c r="J68">
        <v>5000</v>
      </c>
    </row>
    <row r="69" ht="12.75">
      <c r="J69">
        <v>7000</v>
      </c>
    </row>
    <row r="75" ht="12.75">
      <c r="J75">
        <f>SUM(J66:J74)</f>
        <v>29000</v>
      </c>
    </row>
  </sheetData>
  <sheetProtection/>
  <mergeCells count="21">
    <mergeCell ref="D3:D4"/>
    <mergeCell ref="C3:C4"/>
    <mergeCell ref="E3:E4"/>
    <mergeCell ref="F3:F4"/>
    <mergeCell ref="A1:P1"/>
    <mergeCell ref="I3:I4"/>
    <mergeCell ref="H3:H4"/>
    <mergeCell ref="A3:A4"/>
    <mergeCell ref="B3:B4"/>
    <mergeCell ref="K3:K4"/>
    <mergeCell ref="M3:M4"/>
    <mergeCell ref="O3:O4"/>
    <mergeCell ref="J3:J4"/>
    <mergeCell ref="G3:G4"/>
    <mergeCell ref="A17:P18"/>
    <mergeCell ref="A16:P16"/>
    <mergeCell ref="A8:P8"/>
    <mergeCell ref="A12:P12"/>
    <mergeCell ref="P3:P4"/>
    <mergeCell ref="L3:L4"/>
    <mergeCell ref="N3:N4"/>
  </mergeCells>
  <printOptions/>
  <pageMargins left="0.35433070866141736" right="0.1968503937007874" top="0.3937007874015748" bottom="0.5905511811023623" header="0.31496062992125984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L42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27.28125" style="0" customWidth="1"/>
    <col min="2" max="2" width="15.140625" style="0" customWidth="1"/>
    <col min="3" max="3" width="14.57421875" style="0" customWidth="1"/>
    <col min="4" max="4" width="12.8515625" style="0" customWidth="1"/>
    <col min="5" max="5" width="15.57421875" style="0" customWidth="1"/>
    <col min="7" max="7" width="10.140625" style="0" bestFit="1" customWidth="1"/>
    <col min="9" max="9" width="12.00390625" style="0" customWidth="1"/>
    <col min="10" max="10" width="11.8515625" style="0" customWidth="1"/>
    <col min="12" max="12" width="11.7109375" style="0" bestFit="1" customWidth="1"/>
  </cols>
  <sheetData>
    <row r="1" spans="1:5" ht="48" customHeight="1" thickBot="1" thickTop="1">
      <c r="A1" s="639" t="s">
        <v>486</v>
      </c>
      <c r="B1" s="640" t="s">
        <v>508</v>
      </c>
      <c r="C1" s="640" t="s">
        <v>518</v>
      </c>
      <c r="D1" s="640" t="s">
        <v>509</v>
      </c>
      <c r="E1" s="641" t="s">
        <v>487</v>
      </c>
    </row>
    <row r="2" spans="1:5" ht="15" thickTop="1">
      <c r="A2" s="812" t="s">
        <v>488</v>
      </c>
      <c r="B2" s="813"/>
      <c r="C2" s="813"/>
      <c r="D2" s="813"/>
      <c r="E2" s="814"/>
    </row>
    <row r="3" spans="1:5" ht="16.5" customHeight="1">
      <c r="A3" s="642" t="s">
        <v>489</v>
      </c>
      <c r="B3" s="656">
        <v>11159571</v>
      </c>
      <c r="C3" s="643">
        <f>'HOSP.'!N5</f>
        <v>11784690</v>
      </c>
      <c r="D3" s="644">
        <f>'HOSP.'!O5</f>
        <v>11835790.83</v>
      </c>
      <c r="E3" s="650">
        <f>IF(C3=0,0,D3/C3)*100</f>
        <v>100.43362048556219</v>
      </c>
    </row>
    <row r="4" spans="1:10" ht="16.5" customHeight="1">
      <c r="A4" s="642" t="s">
        <v>490</v>
      </c>
      <c r="B4" s="656">
        <v>10577990</v>
      </c>
      <c r="C4" s="643">
        <f>'HOSP.'!N6</f>
        <v>11034612</v>
      </c>
      <c r="D4" s="644">
        <f>'HOSP.'!O6</f>
        <v>10815176.069999998</v>
      </c>
      <c r="E4" s="650">
        <f>IF(C4=0,0,D4/C4)*100</f>
        <v>98.01138517602611</v>
      </c>
      <c r="J4" s="406"/>
    </row>
    <row r="5" spans="1:10" ht="16.5" customHeight="1">
      <c r="A5" s="645" t="s">
        <v>491</v>
      </c>
      <c r="B5" s="815">
        <f>B3-B4</f>
        <v>581581</v>
      </c>
      <c r="C5" s="815">
        <f>C3-C4</f>
        <v>750078</v>
      </c>
      <c r="D5" s="817">
        <f>D3-D4</f>
        <v>1020614.7600000016</v>
      </c>
      <c r="E5" s="819"/>
      <c r="J5" s="406"/>
    </row>
    <row r="6" spans="1:12" ht="16.5" customHeight="1" thickBot="1">
      <c r="A6" s="646" t="s">
        <v>492</v>
      </c>
      <c r="B6" s="816"/>
      <c r="C6" s="816"/>
      <c r="D6" s="818"/>
      <c r="E6" s="820"/>
      <c r="L6" s="406"/>
    </row>
    <row r="7" spans="1:5" ht="16.5" customHeight="1" thickTop="1">
      <c r="A7" s="812" t="s">
        <v>493</v>
      </c>
      <c r="B7" s="813"/>
      <c r="C7" s="813"/>
      <c r="D7" s="813"/>
      <c r="E7" s="814"/>
    </row>
    <row r="8" spans="1:5" ht="16.5" customHeight="1">
      <c r="A8" s="642" t="s">
        <v>494</v>
      </c>
      <c r="B8" s="656">
        <v>1241596</v>
      </c>
      <c r="C8" s="643">
        <f>'HOSP.'!N9</f>
        <v>2118511</v>
      </c>
      <c r="D8" s="644">
        <f>'HOSP.'!O9</f>
        <v>2123247.52</v>
      </c>
      <c r="E8" s="650">
        <f>IF(C8=0,0,D8/C8)*100</f>
        <v>100.22357778647361</v>
      </c>
    </row>
    <row r="9" spans="1:5" ht="16.5" customHeight="1">
      <c r="A9" s="642" t="s">
        <v>495</v>
      </c>
      <c r="B9" s="656">
        <v>2089259</v>
      </c>
      <c r="C9" s="643">
        <f>'HOSP.'!N10</f>
        <v>3477543</v>
      </c>
      <c r="D9" s="644">
        <f>'HOSP.'!O10</f>
        <v>2329182.13</v>
      </c>
      <c r="E9" s="650">
        <f>IF(C9=0,0,D9/C9)*100</f>
        <v>66.97780962018298</v>
      </c>
    </row>
    <row r="10" spans="1:12" ht="16.5" customHeight="1">
      <c r="A10" s="645" t="s">
        <v>496</v>
      </c>
      <c r="B10" s="815">
        <f>B8-B9</f>
        <v>-847663</v>
      </c>
      <c r="C10" s="815">
        <f>C8-C9</f>
        <v>-1359032</v>
      </c>
      <c r="D10" s="817">
        <f>D8-D9</f>
        <v>-205934.60999999987</v>
      </c>
      <c r="E10" s="819"/>
      <c r="L10" s="406"/>
    </row>
    <row r="11" spans="1:5" ht="16.5" customHeight="1" thickBot="1">
      <c r="A11" s="646" t="s">
        <v>497</v>
      </c>
      <c r="B11" s="816"/>
      <c r="C11" s="816"/>
      <c r="D11" s="818"/>
      <c r="E11" s="820"/>
    </row>
    <row r="12" spans="1:5" ht="16.5" customHeight="1" thickTop="1">
      <c r="A12" s="812" t="s">
        <v>498</v>
      </c>
      <c r="B12" s="813"/>
      <c r="C12" s="813"/>
      <c r="D12" s="813"/>
      <c r="E12" s="814"/>
    </row>
    <row r="13" spans="1:5" ht="16.5" customHeight="1">
      <c r="A13" s="642" t="s">
        <v>499</v>
      </c>
      <c r="B13" s="643">
        <f aca="true" t="shared" si="0" ref="B13:D14">B3+B8</f>
        <v>12401167</v>
      </c>
      <c r="C13" s="643">
        <f t="shared" si="0"/>
        <v>13903201</v>
      </c>
      <c r="D13" s="644">
        <f t="shared" si="0"/>
        <v>13959038.35</v>
      </c>
      <c r="E13" s="650">
        <f>IF(C13=0,0,D13/C13)*100</f>
        <v>100.40161506691877</v>
      </c>
    </row>
    <row r="14" spans="1:5" ht="16.5" customHeight="1">
      <c r="A14" s="642" t="s">
        <v>500</v>
      </c>
      <c r="B14" s="643">
        <f t="shared" si="0"/>
        <v>12667249</v>
      </c>
      <c r="C14" s="643">
        <f t="shared" si="0"/>
        <v>14512155</v>
      </c>
      <c r="D14" s="644">
        <f t="shared" si="0"/>
        <v>13144358.2</v>
      </c>
      <c r="E14" s="650">
        <f>IF(C14=0,0,D14/C14)*100</f>
        <v>90.57481952198002</v>
      </c>
    </row>
    <row r="15" spans="1:5" ht="16.5" customHeight="1">
      <c r="A15" s="645" t="s">
        <v>501</v>
      </c>
      <c r="B15" s="815">
        <f>B13-B14</f>
        <v>-266082</v>
      </c>
      <c r="C15" s="815">
        <f>C13-C14</f>
        <v>-608954</v>
      </c>
      <c r="D15" s="817">
        <f>D13-D14</f>
        <v>814680.1500000004</v>
      </c>
      <c r="E15" s="819"/>
    </row>
    <row r="16" spans="1:5" ht="16.5" customHeight="1" thickBot="1">
      <c r="A16" s="646" t="s">
        <v>502</v>
      </c>
      <c r="B16" s="816"/>
      <c r="C16" s="816"/>
      <c r="D16" s="818"/>
      <c r="E16" s="820"/>
    </row>
    <row r="17" spans="1:5" ht="16.5" customHeight="1" thickTop="1">
      <c r="A17" s="821" t="s">
        <v>69</v>
      </c>
      <c r="B17" s="822"/>
      <c r="C17" s="822"/>
      <c r="D17" s="822"/>
      <c r="E17" s="823"/>
    </row>
    <row r="18" spans="1:5" ht="16.5" customHeight="1">
      <c r="A18" s="642" t="s">
        <v>503</v>
      </c>
      <c r="B18" s="656">
        <v>731082</v>
      </c>
      <c r="C18" s="643">
        <f>'HOSP.'!N13</f>
        <v>1438544</v>
      </c>
      <c r="D18" s="644">
        <f>'HOSP.'!O13</f>
        <v>1389578.65</v>
      </c>
      <c r="E18" s="650">
        <f>IF(C18=0,0,D18/C18)*100</f>
        <v>96.5961868389149</v>
      </c>
    </row>
    <row r="19" spans="1:5" ht="16.5" customHeight="1">
      <c r="A19" s="642" t="s">
        <v>504</v>
      </c>
      <c r="B19" s="656">
        <v>465000</v>
      </c>
      <c r="C19" s="643">
        <f>'HOSP.'!N14</f>
        <v>828308</v>
      </c>
      <c r="D19" s="644">
        <f>'HOSP.'!O14</f>
        <v>849215.54</v>
      </c>
      <c r="E19" s="650">
        <f>IF(C19=0,0,D19/C19)*100</f>
        <v>102.52412629118636</v>
      </c>
    </row>
    <row r="20" spans="1:5" ht="16.5" customHeight="1" thickBot="1">
      <c r="A20" s="646" t="s">
        <v>505</v>
      </c>
      <c r="B20" s="647">
        <f>B18-B19</f>
        <v>266082</v>
      </c>
      <c r="C20" s="647">
        <f>C18-C19</f>
        <v>610236</v>
      </c>
      <c r="D20" s="648">
        <f>D18-D19</f>
        <v>540363.1099999999</v>
      </c>
      <c r="E20" s="651"/>
    </row>
    <row r="21" spans="1:5" ht="16.5" customHeight="1" thickTop="1">
      <c r="A21" s="652" t="s">
        <v>506</v>
      </c>
      <c r="B21" s="830">
        <f>B5+B10+B20</f>
        <v>0</v>
      </c>
      <c r="C21" s="824">
        <f>C5+C10+C20</f>
        <v>1282</v>
      </c>
      <c r="D21" s="826">
        <f>D5+D10+D20</f>
        <v>1355043.2600000016</v>
      </c>
      <c r="E21" s="828"/>
    </row>
    <row r="22" spans="1:5" ht="16.5" customHeight="1" thickBot="1">
      <c r="A22" s="649" t="s">
        <v>507</v>
      </c>
      <c r="B22" s="831"/>
      <c r="C22" s="825"/>
      <c r="D22" s="827"/>
      <c r="E22" s="829"/>
    </row>
    <row r="23" spans="1:12" ht="16.5" thickTop="1">
      <c r="A23" s="832" t="s">
        <v>510</v>
      </c>
      <c r="B23" s="833"/>
      <c r="C23" s="834"/>
      <c r="D23" s="835"/>
      <c r="E23" s="836"/>
      <c r="L23" s="406"/>
    </row>
    <row r="24" spans="1:12" ht="15.75">
      <c r="A24" s="837" t="s">
        <v>514</v>
      </c>
      <c r="B24" s="838"/>
      <c r="C24" s="839"/>
      <c r="D24" s="840">
        <v>62348.38</v>
      </c>
      <c r="E24" s="841"/>
      <c r="L24" s="406"/>
    </row>
    <row r="25" spans="1:12" ht="16.5" customHeight="1">
      <c r="A25" s="845" t="s">
        <v>515</v>
      </c>
      <c r="B25" s="843"/>
      <c r="C25" s="844"/>
      <c r="D25" s="840">
        <v>33369.19</v>
      </c>
      <c r="E25" s="841"/>
      <c r="L25" s="638"/>
    </row>
    <row r="26" spans="1:12" ht="15.75">
      <c r="A26" s="837" t="s">
        <v>513</v>
      </c>
      <c r="B26" s="838"/>
      <c r="C26" s="839"/>
      <c r="D26" s="840">
        <v>2100.32</v>
      </c>
      <c r="E26" s="841"/>
      <c r="L26" s="406"/>
    </row>
    <row r="27" spans="1:12" ht="15.75">
      <c r="A27" s="837" t="s">
        <v>512</v>
      </c>
      <c r="B27" s="838"/>
      <c r="C27" s="839"/>
      <c r="D27" s="840">
        <v>-1089890.32</v>
      </c>
      <c r="E27" s="841"/>
      <c r="L27" s="406"/>
    </row>
    <row r="28" spans="1:12" ht="15.75" hidden="1">
      <c r="A28" s="842" t="s">
        <v>516</v>
      </c>
      <c r="B28" s="843"/>
      <c r="C28" s="844"/>
      <c r="D28" s="840"/>
      <c r="E28" s="841"/>
      <c r="I28" s="406"/>
      <c r="L28" s="406"/>
    </row>
    <row r="29" spans="1:7" ht="15.75" hidden="1">
      <c r="A29" s="842" t="s">
        <v>517</v>
      </c>
      <c r="B29" s="843"/>
      <c r="C29" s="844"/>
      <c r="D29" s="840"/>
      <c r="E29" s="841"/>
      <c r="G29" s="406"/>
    </row>
    <row r="30" spans="1:12" ht="16.5" thickBot="1">
      <c r="A30" s="846" t="s">
        <v>511</v>
      </c>
      <c r="B30" s="847"/>
      <c r="C30" s="848"/>
      <c r="D30" s="849">
        <f>D21+D24+D26+D27+D28+D29+D25</f>
        <v>362970.83000000153</v>
      </c>
      <c r="E30" s="850"/>
      <c r="G30" s="406"/>
      <c r="I30" s="406"/>
      <c r="L30" s="406"/>
    </row>
    <row r="31" ht="13.5" thickTop="1"/>
    <row r="33" spans="5:9" ht="12.75">
      <c r="E33" s="406"/>
      <c r="I33" s="406"/>
    </row>
    <row r="34" spans="4:5" ht="12.75">
      <c r="D34" s="406"/>
      <c r="E34" s="406"/>
    </row>
    <row r="35" spans="3:5" ht="12.75">
      <c r="C35" s="406"/>
      <c r="E35" s="406"/>
    </row>
    <row r="36" spans="5:12" ht="12.75">
      <c r="E36" s="406"/>
      <c r="L36" s="406"/>
    </row>
    <row r="37" ht="12.75">
      <c r="E37" s="406"/>
    </row>
    <row r="38" spans="3:5" ht="12.75">
      <c r="C38" s="406"/>
      <c r="E38" s="406"/>
    </row>
    <row r="39" ht="12.75">
      <c r="E39" s="406"/>
    </row>
    <row r="40" spans="3:5" ht="12.75">
      <c r="C40" s="406"/>
      <c r="E40" s="406"/>
    </row>
    <row r="41" ht="12.75">
      <c r="D41" s="406"/>
    </row>
    <row r="42" spans="4:5" ht="12.75">
      <c r="D42" s="654"/>
      <c r="E42" s="655"/>
    </row>
  </sheetData>
  <sheetProtection/>
  <mergeCells count="36">
    <mergeCell ref="A30:C30"/>
    <mergeCell ref="D30:E30"/>
    <mergeCell ref="D25:E25"/>
    <mergeCell ref="A26:C26"/>
    <mergeCell ref="D26:E26"/>
    <mergeCell ref="A27:C27"/>
    <mergeCell ref="D27:E27"/>
    <mergeCell ref="A28:C28"/>
    <mergeCell ref="D28:E28"/>
    <mergeCell ref="A23:C23"/>
    <mergeCell ref="D23:E23"/>
    <mergeCell ref="A24:C24"/>
    <mergeCell ref="D24:E24"/>
    <mergeCell ref="A29:C29"/>
    <mergeCell ref="D29:E29"/>
    <mergeCell ref="A25:C25"/>
    <mergeCell ref="A12:E12"/>
    <mergeCell ref="C15:C16"/>
    <mergeCell ref="D15:D16"/>
    <mergeCell ref="E15:E16"/>
    <mergeCell ref="A17:E17"/>
    <mergeCell ref="C21:C22"/>
    <mergeCell ref="D21:D22"/>
    <mergeCell ref="E21:E22"/>
    <mergeCell ref="B15:B16"/>
    <mergeCell ref="B21:B22"/>
    <mergeCell ref="A2:E2"/>
    <mergeCell ref="C5:C6"/>
    <mergeCell ref="D5:D6"/>
    <mergeCell ref="E5:E6"/>
    <mergeCell ref="A7:E7"/>
    <mergeCell ref="C10:C11"/>
    <mergeCell ref="D10:D11"/>
    <mergeCell ref="E10:E11"/>
    <mergeCell ref="B5:B6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2019-04-10T07:23:09Z</cp:lastPrinted>
  <dcterms:created xsi:type="dcterms:W3CDTF">2009-12-28T11:25:53Z</dcterms:created>
  <dcterms:modified xsi:type="dcterms:W3CDTF">2019-04-11T09:19:18Z</dcterms:modified>
  <cp:category/>
  <cp:version/>
  <cp:contentType/>
  <cp:contentStatus/>
</cp:coreProperties>
</file>