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40" windowWidth="12120" windowHeight="8445" tabRatio="601" firstSheet="2" activeTab="5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/>
  <calcPr fullCalcOnLoad="1"/>
</workbook>
</file>

<file path=xl/sharedStrings.xml><?xml version="1.0" encoding="utf-8"?>
<sst xmlns="http://schemas.openxmlformats.org/spreadsheetml/2006/main" count="517" uniqueCount="374">
  <si>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</si>
  <si>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</si>
  <si>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</si>
  <si>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</si>
  <si>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</si>
  <si>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</si>
  <si>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</si>
  <si>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</si>
  <si>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</si>
  <si>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</si>
  <si>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</si>
  <si>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</si>
  <si>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</si>
  <si>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</si>
  <si>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</si>
  <si>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</si>
  <si>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</si>
  <si>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</si>
  <si>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</si>
  <si>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</si>
  <si>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Cestná doprava / transfér SAD /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</si>
  <si>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</si>
  <si>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</si>
  <si>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</si>
  <si>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</si>
  <si>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</si>
  <si>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</si>
  <si>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</si>
  <si>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</si>
  <si>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</si>
  <si>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</si>
  <si>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</si>
  <si>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</si>
  <si>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</si>
  <si>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</si>
  <si>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</si>
  <si>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</si>
  <si>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</si>
  <si>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</si>
  <si>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</si>
  <si>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</si>
  <si>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Knihy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</si>
  <si>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</si>
  <si>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</si>
  <si>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</si>
  <si>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</si>
  <si>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</si>
  <si>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</si>
  <si>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</si>
  <si>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</si>
  <si>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</si>
  <si>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</si>
  <si>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</si>
  <si>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</si>
  <si>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</si>
  <si>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</si>
  <si>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</si>
  <si>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</si>
  <si>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</si>
  <si>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</si>
  <si>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</si>
  <si>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</si>
  <si>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</si>
  <si>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</si>
  <si>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bežné transfery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</si>
  <si>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</si>
  <si>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</si>
  <si>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</si>
  <si>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</si>
  <si>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</si>
  <si>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</si>
  <si>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</si>
  <si>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</si>
  <si>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</si>
  <si>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</si>
  <si>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</si>
  <si>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</si>
  <si>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</si>
  <si>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</si>
  <si>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u k a z o v a t e ľ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</si>
  <si>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</si>
  <si>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</si>
  <si>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</si>
  <si>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</si>
  <si>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</si>
  <si>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</si>
  <si>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</si>
  <si>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</si>
  <si>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</si>
  <si>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</si>
  <si>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</si>
  <si>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</si>
  <si>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</si>
  <si>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</si>
  <si>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</si>
  <si>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</si>
  <si>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</si>
  <si>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</si>
  <si>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</si>
  <si>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</si>
  <si>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</si>
  <si>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</si>
  <si>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</si>
  <si>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</si>
  <si>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</si>
  <si>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</si>
  <si>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</si>
  <si>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</si>
  <si>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</si>
  <si>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</si>
  <si>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</si>
  <si>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</si>
  <si>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</si>
  <si>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</si>
  <si>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</si>
  <si>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</si>
  <si>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</si>
  <si>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</si>
  <si>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</si>
  <si>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</si>
  <si>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</si>
  <si>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</si>
  <si>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</si>
  <si>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</si>
  <si>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</si>
  <si>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</si>
  <si>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</si>
  <si>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</si>
  <si>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</si>
  <si>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</si>
  <si>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</si>
  <si>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</si>
  <si>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</si>
  <si>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</si>
  <si>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</si>
  <si>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</si>
  <si>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</si>
  <si>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</si>
  <si>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</si>
  <si>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</si>
  <si>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</si>
  <si>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</si>
  <si>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</si>
  <si>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</si>
  <si>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</si>
  <si>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</si>
  <si>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</si>
  <si>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</si>
  <si>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</si>
  <si>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</si>
  <si>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</si>
  <si>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</si>
  <si>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</si>
  <si>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</si>
  <si>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</si>
  <si>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</si>
  <si>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</si>
  <si>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</si>
  <si>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</si>
  <si>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</si>
  <si>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</si>
  <si>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</si>
  <si>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</si>
  <si>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</si>
  <si>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</si>
  <si>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</si>
  <si>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</si>
  <si>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</si>
  <si>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</si>
  <si>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</si>
  <si>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</si>
  <si>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</si>
  <si>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</si>
  <si>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</si>
  <si>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</si>
  <si>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</si>
  <si>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</si>
  <si>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</si>
  <si>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</si>
  <si>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</si>
  <si>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</si>
  <si>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</si>
  <si>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</si>
  <si>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</si>
  <si>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</si>
  <si>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</si>
  <si>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</si>
  <si>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Ostatné</t>
  </si>
  <si>
    <t>Splácanie bankových úverov dlhodobých</t>
  </si>
  <si>
    <t>Chránená dielňa 1</t>
  </si>
  <si>
    <t>Chránená dielňa 2</t>
  </si>
  <si>
    <t>Chránená dielňa 3</t>
  </si>
  <si>
    <t>Transfer pre komunitné centrum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</si>
  <si>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</si>
  <si>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</si>
  <si>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</si>
  <si>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</si>
  <si>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</si>
  <si>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</si>
  <si>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</si>
  <si>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</si>
  <si>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</si>
  <si>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</si>
  <si>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</si>
  <si>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</si>
  <si>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</si>
  <si>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</si>
  <si>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>01.6</t>
  </si>
  <si>
    <t xml:space="preserve">REKAPITULÁCIA  PRÍJMOV  A  VÝDAVKOV </t>
  </si>
  <si>
    <t>Transfer REGOB</t>
  </si>
  <si>
    <t>Iné všeobecné služby-matrika</t>
  </si>
  <si>
    <t>Tlač knižnej publikácie - Levoča</t>
  </si>
  <si>
    <t xml:space="preserve">rezerva </t>
  </si>
  <si>
    <t>Dotácia na vojn.hroby-Pamätník</t>
  </si>
  <si>
    <t>Ochrana životného prostredia</t>
  </si>
  <si>
    <t>Partnerské mestá</t>
  </si>
  <si>
    <t>leasing</t>
  </si>
  <si>
    <t>Vojnové hroby</t>
  </si>
  <si>
    <t>Náklady na školstvo-cirkev.</t>
  </si>
  <si>
    <t>08.2.0.</t>
  </si>
  <si>
    <t>finančný prenájom</t>
  </si>
  <si>
    <t>Káblová televízia - štúdia</t>
  </si>
  <si>
    <t>Transfer KÚCD a PK</t>
  </si>
  <si>
    <t>nákup pozemkov tur. chodník</t>
  </si>
  <si>
    <t>nákup pozemkov hradobné priekopy</t>
  </si>
  <si>
    <t>Príspevok pre SÚZ</t>
  </si>
  <si>
    <t xml:space="preserve">predaj akcií </t>
  </si>
  <si>
    <t>TV 20 B.J: Nájomné byty- sídl. Rozvoj</t>
  </si>
  <si>
    <t>Úprava chodníkov ul. Nad tehelňou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</si>
  <si>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</si>
  <si>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</si>
  <si>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</si>
  <si>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</si>
  <si>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</si>
  <si>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</si>
  <si>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Transfer pre SÚZ</t>
  </si>
  <si>
    <t>Nákup budovy-Levočské Lúky</t>
  </si>
  <si>
    <t>ochrana deti</t>
  </si>
  <si>
    <t>Časť 1.1 Bežný rozpočet</t>
  </si>
  <si>
    <t>vklad do ZI VNsP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</si>
  <si>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</si>
  <si>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</si>
  <si>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</si>
  <si>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</si>
  <si>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</si>
  <si>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</si>
  <si>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bytov a nebyt. priestorov</t>
  </si>
  <si>
    <t>NMP č.2 - MsÚ , rekonštruk.fasády</t>
  </si>
  <si>
    <t>vyrovnanie VNsP a.s. - plyn. prípojka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</si>
  <si>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</si>
  <si>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</si>
  <si>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</si>
  <si>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</si>
  <si>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</si>
  <si>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</si>
  <si>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nákup pozemkov Ovocinárska</t>
  </si>
  <si>
    <t>NMP I. etapa</t>
  </si>
  <si>
    <t>MŠ Žel. riadok - školská infraštruk.</t>
  </si>
  <si>
    <t>Projektová príprava</t>
  </si>
  <si>
    <t>Tranfer na Technické služby</t>
  </si>
  <si>
    <t>ZŠ G. Haina - školská infraštruk.</t>
  </si>
  <si>
    <t>ZŠ Francisciho - školská infraštruk.</t>
  </si>
  <si>
    <t>Cykloturistický chodník II. etepa</t>
  </si>
  <si>
    <t>Transfer - MŽP SR</t>
  </si>
  <si>
    <t>Recyklačný fond</t>
  </si>
  <si>
    <t>Štúdie, expertízy, posudky</t>
  </si>
  <si>
    <t>Mariánska púť - benefičný koncert</t>
  </si>
  <si>
    <t>Dni Majstra Pavla</t>
  </si>
  <si>
    <t>Technické služby-cint. služby</t>
  </si>
  <si>
    <t xml:space="preserve">    z pozemkov - dialnica</t>
  </si>
  <si>
    <t>Karpatské klim. mestečká</t>
  </si>
  <si>
    <t>Voda - Lev.Lúky</t>
  </si>
  <si>
    <t>Odvod z výťažku 5%</t>
  </si>
  <si>
    <t>dot. na  obnovu kult. pamiatok</t>
  </si>
  <si>
    <t>Informačné tabule + PD</t>
  </si>
  <si>
    <t>Splácanie bankových úverov ŠFRB</t>
  </si>
  <si>
    <t>Údržba ciest - sídl. Rozvoj</t>
  </si>
  <si>
    <t>Územný plán mesta</t>
  </si>
  <si>
    <t xml:space="preserve">Prestavba NMP I. etapa </t>
  </si>
  <si>
    <t>630</t>
  </si>
  <si>
    <t>Uzat.a rek.skládky KO D.Stráže</t>
  </si>
  <si>
    <t>MŽP SR Uzat.a rek.skládky KO D.Stráže</t>
  </si>
  <si>
    <t xml:space="preserve">MV a RR SR prestavba NMP I. etapa </t>
  </si>
  <si>
    <t>MŠ Žel. riadok 3 škol.infra.</t>
  </si>
  <si>
    <t>MV a RR SR MŠ Žel. riadok 3 škol.infra.</t>
  </si>
  <si>
    <t>ZŠ Francisciho 11 škol. infra.</t>
  </si>
  <si>
    <t>ZŠ G. Haina 37 škol. infra.</t>
  </si>
  <si>
    <t>MV a RR SR ZŠ Francisciho 11 škol. infra.</t>
  </si>
  <si>
    <t>MV a RR SR ZŠ G. Haina 37 škol. infra.</t>
  </si>
  <si>
    <t>NMP č 2-radnica, obnova fasády</t>
  </si>
  <si>
    <t>MK SR NMP č 2-radnica, obnova fasády</t>
  </si>
  <si>
    <t>Úprava komuni. ul. Hradby</t>
  </si>
  <si>
    <t>MV a RR SR NMP I. etapa</t>
  </si>
  <si>
    <t>MVaRR SR MŠ Žel. riadok-škol.infra.</t>
  </si>
  <si>
    <t>MVaRR SR ZŠ Francisciho-škol.infra.</t>
  </si>
  <si>
    <t>MVaRR SR ZŠ G. Haina - škol. infra.</t>
  </si>
  <si>
    <t>MŽP SR Rekulti.skládky KO D. Stráže</t>
  </si>
  <si>
    <t>Rekulti. skládky KO Dlhé Stráže</t>
  </si>
  <si>
    <t>Stary Sacz - Levča, karp. mestečká</t>
  </si>
  <si>
    <t>MVaRR SR St.Sacz-Levča, karp. mestečká</t>
  </si>
  <si>
    <t>Ižinierske siete-IBV Lev.Dolina II.etapa</t>
  </si>
  <si>
    <t>Kostol sv. Jakuba - svätyňa</t>
  </si>
  <si>
    <t>MK SR Kostol sv. Jakuba - svätyňa</t>
  </si>
  <si>
    <t>ČOV Lev. Lúky - odvodnenie</t>
  </si>
  <si>
    <t>Úprava komunikácie sídl. Západ</t>
  </si>
  <si>
    <t>Upravený rozpočet 2010</t>
  </si>
  <si>
    <t>Rekapitulácia</t>
  </si>
  <si>
    <t>vyregulovanie systému UK NMP 50,51</t>
  </si>
  <si>
    <t>Klaštorská 26- výmena krovu</t>
  </si>
  <si>
    <t>Úrad vlády- MŠ Žel. Riadok</t>
  </si>
  <si>
    <t>Parkovisko sídl. Západ</t>
  </si>
  <si>
    <t>MF SR - účelová dotácia</t>
  </si>
  <si>
    <t>Prechod pri Menhardskej bráne</t>
  </si>
  <si>
    <t>Úprava komunikácie Slavkovska ul.</t>
  </si>
  <si>
    <t>LD - dažďová kanalizácia</t>
  </si>
  <si>
    <t>Rozšírenie VO - Žel.riadok - Pod vinicou</t>
  </si>
  <si>
    <t>Príspevok pre TS</t>
  </si>
  <si>
    <t>ZŠ Francisciho - školská jedáleň</t>
  </si>
  <si>
    <t>VO-garáže sídl. Západ, ostatné</t>
  </si>
  <si>
    <t>Oprava a udržba MK</t>
  </si>
  <si>
    <t>Ižinierske siete-IBV Lev.Dolina III.etapa</t>
  </si>
  <si>
    <t>Rekonštrukcia hradieb, Baštová ulica</t>
  </si>
  <si>
    <t>Obnova hradobného múru</t>
  </si>
  <si>
    <t>MŠ Žel. riadok - preložka NN</t>
  </si>
  <si>
    <t>Úprava toku - Krížny potok</t>
  </si>
  <si>
    <t>Kostol sv. Jakuba,sakristia</t>
  </si>
  <si>
    <t>Kostol sv. Jakuba-PD revízia</t>
  </si>
  <si>
    <t>Kostol sv. Jakuba-dažďové zvody</t>
  </si>
  <si>
    <t>NMP č.43 - zameranie a výskum</t>
  </si>
  <si>
    <t>Odstránenie havaríjnych stavieb</t>
  </si>
  <si>
    <t>MK SR - Kostol sv. Jakuba-sakristia</t>
  </si>
  <si>
    <t>MK SR- NMP č. 43 -zameranie a výskum</t>
  </si>
  <si>
    <t>MK SR - Kostol sv. Jakuba-PD revízia</t>
  </si>
  <si>
    <t>MF SR- obnova hradobného múru</t>
  </si>
  <si>
    <t>OÚ Prešov - kamerový systém</t>
  </si>
  <si>
    <t>MF SR - soc. služby</t>
  </si>
  <si>
    <t>MK SR - UNESCO</t>
  </si>
  <si>
    <t>MK Hradby JV</t>
  </si>
  <si>
    <t>Povodne - záchranné práce</t>
  </si>
  <si>
    <t>Povodne - zabezpečovacie práce</t>
  </si>
  <si>
    <t>Splácanie bankových úverov krátkodobých</t>
  </si>
  <si>
    <t>Dar "Dni Majstra Pavla"</t>
  </si>
  <si>
    <t>Ostatné transfery na  kultúru</t>
  </si>
  <si>
    <t>Hradby JV strana- bašta</t>
  </si>
  <si>
    <t>Parkoviska a úprava komunikácie sídl. Rozvoj</t>
  </si>
  <si>
    <t>Bytové priestory</t>
  </si>
  <si>
    <t>Nebytové priestory</t>
  </si>
  <si>
    <t xml:space="preserve">OÚ Poprad - povodne </t>
  </si>
  <si>
    <t>Transfer TS - vojnové hroby</t>
  </si>
  <si>
    <t>ZŠ G. Haina - telocvičňa</t>
  </si>
  <si>
    <t>ZUŠ - havária kotolne</t>
  </si>
  <si>
    <t>Cykloturistický chodník I. etepa - povodne</t>
  </si>
  <si>
    <t>Objekt VNsP Levoča</t>
  </si>
  <si>
    <t>Náhradné bývanie Lev. Lúky (spolufinan.)</t>
  </si>
  <si>
    <t>CVČ - prenosný floorballový mantinel</t>
  </si>
  <si>
    <t>Čerpanie k 31.12.2010</t>
  </si>
  <si>
    <t>Čerpanie k 31.12.2009</t>
  </si>
  <si>
    <t>Rozpočet rok 2010 - schválený</t>
  </si>
  <si>
    <t>Plnenie rozpočtu</t>
  </si>
  <si>
    <t>REGOB - voľby</t>
  </si>
  <si>
    <t>voľby</t>
  </si>
  <si>
    <t>Hnedý priemyselný park</t>
  </si>
  <si>
    <t>nákup pozemkov minoriti - vodná nádrž</t>
  </si>
  <si>
    <t>Chránené dielne</t>
  </si>
  <si>
    <t>Projekty - školy</t>
  </si>
  <si>
    <t>Prevod na depozit</t>
  </si>
  <si>
    <t>nákup pozemkov Lev. Lúky</t>
  </si>
  <si>
    <t>Voľby, referendum</t>
  </si>
  <si>
    <t>Transfer -DNP</t>
  </si>
  <si>
    <t>Prevencia kriminality</t>
  </si>
  <si>
    <t>Dopravné značenie</t>
  </si>
  <si>
    <t xml:space="preserve">NMP43  </t>
  </si>
  <si>
    <t>Prevod na fond nevyčerpaných dotácií</t>
  </si>
  <si>
    <t>Summit NATO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</si>
</sst>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\ _S_k"/>
    <numFmt numFmtId="174" formatCode="0.0"/>
    <numFmt numFmtId="175" formatCode="[$-41B]d\.\ mmmm\ yyyy"/>
    <numFmt numFmtId="176" formatCode="#,##0.000"/>
    <numFmt numFmtId="177" formatCode="#,##0.0000"/>
    <numFmt numFmtId="178" formatCode="#,##0.00000"/>
    <numFmt numFmtId="179" formatCode="#,##0.0000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#,##0.0000000"/>
  </numFmts>
  <fonts count="35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sz val="11"/>
      <name val="Arial CE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hair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579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7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12" fillId="0" borderId="0" xfId="0" applyFont="1" applyAlignment="1">
      <alignment/>
    </xf>
    <xf numFmtId="3" fontId="8" fillId="19" borderId="11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9" fillId="16" borderId="11" xfId="0" applyNumberFormat="1" applyFont="1" applyFill="1" applyBorder="1" applyAlignment="1">
      <alignment/>
    </xf>
    <xf numFmtId="3" fontId="6" fillId="19" borderId="35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6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14" fontId="6" fillId="19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9" fontId="6" fillId="19" borderId="39" xfId="0" applyNumberFormat="1" applyFont="1" applyFill="1" applyBorder="1" applyAlignment="1">
      <alignment/>
    </xf>
    <xf numFmtId="16" fontId="6" fillId="19" borderId="36" xfId="0" applyNumberFormat="1" applyFont="1" applyFill="1" applyBorder="1" applyAlignment="1">
      <alignment/>
    </xf>
    <xf numFmtId="0" fontId="9" fillId="16" borderId="40" xfId="0" applyFont="1" applyFill="1" applyBorder="1" applyAlignment="1">
      <alignment/>
    </xf>
    <xf numFmtId="0" fontId="9" fillId="16" borderId="41" xfId="0" applyFont="1" applyFill="1" applyBorder="1" applyAlignment="1">
      <alignment/>
    </xf>
    <xf numFmtId="3" fontId="9" fillId="16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44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6" fillId="19" borderId="39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9" xfId="0" applyFont="1" applyBorder="1" applyAlignment="1">
      <alignment/>
    </xf>
    <xf numFmtId="0" fontId="9" fillId="16" borderId="46" xfId="0" applyFont="1" applyFill="1" applyBorder="1" applyAlignment="1">
      <alignment/>
    </xf>
    <xf numFmtId="0" fontId="6" fillId="19" borderId="47" xfId="0" applyFont="1" applyFill="1" applyBorder="1" applyAlignment="1">
      <alignment/>
    </xf>
    <xf numFmtId="0" fontId="9" fillId="16" borderId="48" xfId="0" applyFont="1" applyFill="1" applyBorder="1" applyAlignment="1">
      <alignment horizontal="center"/>
    </xf>
    <xf numFmtId="0" fontId="6" fillId="19" borderId="36" xfId="0" applyFont="1" applyFill="1" applyBorder="1" applyAlignment="1">
      <alignment/>
    </xf>
    <xf numFmtId="0" fontId="9" fillId="16" borderId="49" xfId="0" applyFont="1" applyFill="1" applyBorder="1" applyAlignment="1">
      <alignment/>
    </xf>
    <xf numFmtId="0" fontId="9" fillId="16" borderId="50" xfId="0" applyFont="1" applyFill="1" applyBorder="1" applyAlignment="1">
      <alignment horizontal="center"/>
    </xf>
    <xf numFmtId="0" fontId="9" fillId="16" borderId="41" xfId="0" applyFont="1" applyFill="1" applyBorder="1" applyAlignment="1">
      <alignment horizontal="center"/>
    </xf>
    <xf numFmtId="49" fontId="1" fillId="0" borderId="37" xfId="0" applyNumberFormat="1" applyFont="1" applyBorder="1" applyAlignment="1">
      <alignment/>
    </xf>
    <xf numFmtId="49" fontId="6" fillId="19" borderId="36" xfId="0" applyNumberFormat="1" applyFont="1" applyFill="1" applyBorder="1" applyAlignment="1">
      <alignment/>
    </xf>
    <xf numFmtId="0" fontId="1" fillId="0" borderId="5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" fillId="0" borderId="39" xfId="0" applyNumberFormat="1" applyFont="1" applyBorder="1" applyAlignment="1">
      <alignment/>
    </xf>
    <xf numFmtId="49" fontId="6" fillId="19" borderId="52" xfId="0" applyNumberFormat="1" applyFont="1" applyFill="1" applyBorder="1" applyAlignment="1">
      <alignment vertical="center" wrapText="1"/>
    </xf>
    <xf numFmtId="3" fontId="6" fillId="19" borderId="53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1" fontId="6" fillId="19" borderId="12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16" borderId="35" xfId="0" applyNumberFormat="1" applyFont="1" applyFill="1" applyBorder="1" applyAlignment="1">
      <alignment/>
    </xf>
    <xf numFmtId="3" fontId="6" fillId="19" borderId="35" xfId="0" applyNumberFormat="1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9" fillId="16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6" xfId="0" applyFont="1" applyFill="1" applyBorder="1" applyAlignment="1">
      <alignment horizontal="center"/>
    </xf>
    <xf numFmtId="0" fontId="6" fillId="19" borderId="51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19" borderId="54" xfId="0" applyFont="1" applyFill="1" applyBorder="1" applyAlignment="1">
      <alignment horizontal="center"/>
    </xf>
    <xf numFmtId="0" fontId="6" fillId="19" borderId="36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3" fontId="3" fillId="0" borderId="55" xfId="0" applyNumberFormat="1" applyFont="1" applyBorder="1" applyAlignment="1">
      <alignment/>
    </xf>
    <xf numFmtId="0" fontId="9" fillId="16" borderId="39" xfId="0" applyFont="1" applyFill="1" applyBorder="1" applyAlignment="1">
      <alignment horizontal="center"/>
    </xf>
    <xf numFmtId="3" fontId="9" fillId="16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19" borderId="54" xfId="0" applyFont="1" applyFill="1" applyBorder="1" applyAlignment="1">
      <alignment/>
    </xf>
    <xf numFmtId="0" fontId="6" fillId="19" borderId="51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49" fontId="6" fillId="19" borderId="39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0" xfId="0" applyFont="1" applyFill="1" applyAlignment="1">
      <alignment/>
    </xf>
    <xf numFmtId="49" fontId="6" fillId="19" borderId="36" xfId="0" applyNumberFormat="1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3" fillId="0" borderId="57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1" fillId="16" borderId="4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35" xfId="0" applyNumberFormat="1" applyFont="1" applyFill="1" applyBorder="1" applyAlignment="1">
      <alignment vertical="center" wrapText="1"/>
    </xf>
    <xf numFmtId="3" fontId="3" fillId="0" borderId="5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6" fillId="19" borderId="59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9" fillId="16" borderId="61" xfId="0" applyNumberFormat="1" applyFont="1" applyFill="1" applyBorder="1" applyAlignment="1">
      <alignment horizontal="right"/>
    </xf>
    <xf numFmtId="0" fontId="8" fillId="19" borderId="54" xfId="0" applyFont="1" applyFill="1" applyBorder="1" applyAlignment="1">
      <alignment horizontal="center"/>
    </xf>
    <xf numFmtId="0" fontId="0" fillId="0" borderId="62" xfId="0" applyBorder="1" applyAlignment="1">
      <alignment/>
    </xf>
    <xf numFmtId="3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0" fontId="8" fillId="0" borderId="65" xfId="0" applyFont="1" applyBorder="1" applyAlignment="1">
      <alignment/>
    </xf>
    <xf numFmtId="3" fontId="8" fillId="0" borderId="55" xfId="0" applyNumberFormat="1" applyFont="1" applyBorder="1" applyAlignment="1">
      <alignment/>
    </xf>
    <xf numFmtId="49" fontId="6" fillId="19" borderId="36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6" fillId="19" borderId="59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6" fillId="19" borderId="25" xfId="0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3" fillId="0" borderId="66" xfId="0" applyFont="1" applyBorder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10" fontId="9" fillId="16" borderId="67" xfId="0" applyNumberFormat="1" applyFont="1" applyFill="1" applyBorder="1" applyAlignment="1">
      <alignment/>
    </xf>
    <xf numFmtId="10" fontId="6" fillId="19" borderId="68" xfId="0" applyNumberFormat="1" applyFont="1" applyFill="1" applyBorder="1" applyAlignment="1">
      <alignment/>
    </xf>
    <xf numFmtId="10" fontId="3" fillId="0" borderId="69" xfId="0" applyNumberFormat="1" applyFont="1" applyBorder="1" applyAlignment="1">
      <alignment/>
    </xf>
    <xf numFmtId="10" fontId="6" fillId="19" borderId="69" xfId="0" applyNumberFormat="1" applyFont="1" applyFill="1" applyBorder="1" applyAlignment="1">
      <alignment/>
    </xf>
    <xf numFmtId="10" fontId="1" fillId="0" borderId="67" xfId="0" applyNumberFormat="1" applyFont="1" applyBorder="1" applyAlignment="1">
      <alignment/>
    </xf>
    <xf numFmtId="10" fontId="3" fillId="0" borderId="70" xfId="0" applyNumberFormat="1" applyFont="1" applyBorder="1" applyAlignment="1">
      <alignment/>
    </xf>
    <xf numFmtId="10" fontId="3" fillId="0" borderId="71" xfId="0" applyNumberFormat="1" applyFont="1" applyBorder="1" applyAlignment="1">
      <alignment/>
    </xf>
    <xf numFmtId="10" fontId="3" fillId="0" borderId="72" xfId="0" applyNumberFormat="1" applyFont="1" applyBorder="1" applyAlignment="1">
      <alignment/>
    </xf>
    <xf numFmtId="10" fontId="1" fillId="0" borderId="68" xfId="0" applyNumberFormat="1" applyFont="1" applyBorder="1" applyAlignment="1">
      <alignment/>
    </xf>
    <xf numFmtId="10" fontId="3" fillId="0" borderId="73" xfId="0" applyNumberFormat="1" applyFont="1" applyBorder="1" applyAlignment="1">
      <alignment/>
    </xf>
    <xf numFmtId="10" fontId="3" fillId="0" borderId="71" xfId="0" applyNumberFormat="1" applyFont="1" applyBorder="1" applyAlignment="1">
      <alignment/>
    </xf>
    <xf numFmtId="10" fontId="9" fillId="16" borderId="74" xfId="0" applyNumberFormat="1" applyFont="1" applyFill="1" applyBorder="1" applyAlignment="1">
      <alignment/>
    </xf>
    <xf numFmtId="10" fontId="6" fillId="19" borderId="74" xfId="0" applyNumberFormat="1" applyFont="1" applyFill="1" applyBorder="1" applyAlignment="1">
      <alignment/>
    </xf>
    <xf numFmtId="10" fontId="1" fillId="0" borderId="69" xfId="0" applyNumberFormat="1" applyFont="1" applyBorder="1" applyAlignment="1">
      <alignment/>
    </xf>
    <xf numFmtId="10" fontId="3" fillId="0" borderId="70" xfId="0" applyNumberFormat="1" applyFont="1" applyBorder="1" applyAlignment="1">
      <alignment/>
    </xf>
    <xf numFmtId="10" fontId="3" fillId="0" borderId="72" xfId="0" applyNumberFormat="1" applyFont="1" applyBorder="1" applyAlignment="1">
      <alignment/>
    </xf>
    <xf numFmtId="10" fontId="1" fillId="0" borderId="74" xfId="0" applyNumberFormat="1" applyFont="1" applyBorder="1" applyAlignment="1">
      <alignment/>
    </xf>
    <xf numFmtId="10" fontId="6" fillId="19" borderId="69" xfId="0" applyNumberFormat="1" applyFont="1" applyFill="1" applyBorder="1" applyAlignment="1">
      <alignment/>
    </xf>
    <xf numFmtId="10" fontId="1" fillId="0" borderId="69" xfId="0" applyNumberFormat="1" applyFont="1" applyBorder="1" applyAlignment="1">
      <alignment/>
    </xf>
    <xf numFmtId="10" fontId="3" fillId="0" borderId="72" xfId="0" applyNumberFormat="1" applyFont="1" applyFill="1" applyBorder="1" applyAlignment="1">
      <alignment/>
    </xf>
    <xf numFmtId="10" fontId="3" fillId="0" borderId="75" xfId="0" applyNumberFormat="1" applyFont="1" applyBorder="1" applyAlignment="1">
      <alignment/>
    </xf>
    <xf numFmtId="10" fontId="6" fillId="19" borderId="67" xfId="0" applyNumberFormat="1" applyFont="1" applyFill="1" applyBorder="1" applyAlignment="1">
      <alignment/>
    </xf>
    <xf numFmtId="10" fontId="3" fillId="0" borderId="67" xfId="0" applyNumberFormat="1" applyFont="1" applyBorder="1" applyAlignment="1">
      <alignment/>
    </xf>
    <xf numFmtId="10" fontId="6" fillId="19" borderId="67" xfId="0" applyNumberFormat="1" applyFont="1" applyFill="1" applyBorder="1" applyAlignment="1">
      <alignment/>
    </xf>
    <xf numFmtId="10" fontId="3" fillId="0" borderId="73" xfId="0" applyNumberFormat="1" applyFont="1" applyBorder="1" applyAlignment="1">
      <alignment/>
    </xf>
    <xf numFmtId="10" fontId="9" fillId="16" borderId="67" xfId="0" applyNumberFormat="1" applyFont="1" applyFill="1" applyBorder="1" applyAlignment="1">
      <alignment/>
    </xf>
    <xf numFmtId="10" fontId="3" fillId="0" borderId="74" xfId="0" applyNumberFormat="1" applyFont="1" applyBorder="1" applyAlignment="1">
      <alignment/>
    </xf>
    <xf numFmtId="10" fontId="9" fillId="16" borderId="76" xfId="0" applyNumberFormat="1" applyFont="1" applyFill="1" applyBorder="1" applyAlignment="1">
      <alignment/>
    </xf>
    <xf numFmtId="3" fontId="9" fillId="16" borderId="77" xfId="0" applyNumberFormat="1" applyFont="1" applyFill="1" applyBorder="1" applyAlignment="1">
      <alignment/>
    </xf>
    <xf numFmtId="3" fontId="6" fillId="19" borderId="78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1" fillId="0" borderId="77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9" fillId="16" borderId="44" xfId="0" applyNumberFormat="1" applyFont="1" applyFill="1" applyBorder="1" applyAlignment="1">
      <alignment/>
    </xf>
    <xf numFmtId="3" fontId="6" fillId="19" borderId="44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79" xfId="0" applyNumberFormat="1" applyFont="1" applyBorder="1" applyAlignment="1">
      <alignment/>
    </xf>
    <xf numFmtId="3" fontId="6" fillId="19" borderId="77" xfId="0" applyNumberFormat="1" applyFont="1" applyFill="1" applyBorder="1" applyAlignment="1">
      <alignment/>
    </xf>
    <xf numFmtId="3" fontId="3" fillId="0" borderId="77" xfId="0" applyNumberFormat="1" applyFont="1" applyBorder="1" applyAlignment="1">
      <alignment/>
    </xf>
    <xf numFmtId="3" fontId="6" fillId="19" borderId="77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9" fillId="16" borderId="50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10" fontId="6" fillId="19" borderId="80" xfId="0" applyNumberFormat="1" applyFont="1" applyFill="1" applyBorder="1" applyAlignment="1">
      <alignment/>
    </xf>
    <xf numFmtId="10" fontId="3" fillId="0" borderId="81" xfId="0" applyNumberFormat="1" applyFont="1" applyFill="1" applyBorder="1" applyAlignment="1">
      <alignment/>
    </xf>
    <xf numFmtId="10" fontId="3" fillId="0" borderId="82" xfId="0" applyNumberFormat="1" applyFont="1" applyFill="1" applyBorder="1" applyAlignment="1">
      <alignment/>
    </xf>
    <xf numFmtId="10" fontId="3" fillId="0" borderId="83" xfId="0" applyNumberFormat="1" applyFont="1" applyFill="1" applyBorder="1" applyAlignment="1">
      <alignment/>
    </xf>
    <xf numFmtId="10" fontId="1" fillId="0" borderId="80" xfId="0" applyNumberFormat="1" applyFont="1" applyFill="1" applyBorder="1" applyAlignment="1">
      <alignment/>
    </xf>
    <xf numFmtId="10" fontId="1" fillId="0" borderId="83" xfId="0" applyNumberFormat="1" applyFont="1" applyFill="1" applyBorder="1" applyAlignment="1">
      <alignment/>
    </xf>
    <xf numFmtId="10" fontId="6" fillId="19" borderId="84" xfId="0" applyNumberFormat="1" applyFont="1" applyFill="1" applyBorder="1" applyAlignment="1">
      <alignment/>
    </xf>
    <xf numFmtId="10" fontId="3" fillId="0" borderId="85" xfId="0" applyNumberFormat="1" applyFont="1" applyFill="1" applyBorder="1" applyAlignment="1">
      <alignment/>
    </xf>
    <xf numFmtId="10" fontId="3" fillId="0" borderId="84" xfId="0" applyNumberFormat="1" applyFont="1" applyFill="1" applyBorder="1" applyAlignment="1">
      <alignment/>
    </xf>
    <xf numFmtId="10" fontId="8" fillId="19" borderId="86" xfId="0" applyNumberFormat="1" applyFont="1" applyFill="1" applyBorder="1" applyAlignment="1">
      <alignment vertical="center" wrapText="1"/>
    </xf>
    <xf numFmtId="10" fontId="2" fillId="0" borderId="87" xfId="0" applyNumberFormat="1" applyFont="1" applyFill="1" applyBorder="1" applyAlignment="1">
      <alignment vertical="center" wrapText="1"/>
    </xf>
    <xf numFmtId="10" fontId="0" fillId="0" borderId="85" xfId="0" applyNumberFormat="1" applyFont="1" applyFill="1" applyBorder="1" applyAlignment="1">
      <alignment vertical="center" wrapText="1"/>
    </xf>
    <xf numFmtId="10" fontId="0" fillId="0" borderId="82" xfId="0" applyNumberFormat="1" applyFont="1" applyFill="1" applyBorder="1" applyAlignment="1">
      <alignment vertical="center" wrapText="1"/>
    </xf>
    <xf numFmtId="10" fontId="1" fillId="0" borderId="80" xfId="0" applyNumberFormat="1" applyFont="1" applyFill="1" applyBorder="1" applyAlignment="1">
      <alignment/>
    </xf>
    <xf numFmtId="10" fontId="9" fillId="16" borderId="88" xfId="0" applyNumberFormat="1" applyFont="1" applyFill="1" applyBorder="1" applyAlignment="1">
      <alignment/>
    </xf>
    <xf numFmtId="10" fontId="6" fillId="19" borderId="89" xfId="0" applyNumberFormat="1" applyFont="1" applyFill="1" applyBorder="1" applyAlignment="1">
      <alignment vertical="center" wrapText="1"/>
    </xf>
    <xf numFmtId="10" fontId="3" fillId="0" borderId="85" xfId="0" applyNumberFormat="1" applyFont="1" applyFill="1" applyBorder="1" applyAlignment="1">
      <alignment/>
    </xf>
    <xf numFmtId="10" fontId="3" fillId="0" borderId="84" xfId="0" applyNumberFormat="1" applyFont="1" applyFill="1" applyBorder="1" applyAlignment="1">
      <alignment/>
    </xf>
    <xf numFmtId="10" fontId="3" fillId="0" borderId="80" xfId="0" applyNumberFormat="1" applyFont="1" applyFill="1" applyBorder="1" applyAlignment="1">
      <alignment/>
    </xf>
    <xf numFmtId="10" fontId="6" fillId="19" borderId="80" xfId="0" applyNumberFormat="1" applyFont="1" applyFill="1" applyBorder="1" applyAlignment="1">
      <alignment/>
    </xf>
    <xf numFmtId="10" fontId="3" fillId="0" borderId="90" xfId="0" applyNumberFormat="1" applyFont="1" applyFill="1" applyBorder="1" applyAlignment="1">
      <alignment/>
    </xf>
    <xf numFmtId="10" fontId="3" fillId="0" borderId="81" xfId="0" applyNumberFormat="1" applyFont="1" applyFill="1" applyBorder="1" applyAlignment="1">
      <alignment/>
    </xf>
    <xf numFmtId="10" fontId="3" fillId="0" borderId="82" xfId="0" applyNumberFormat="1" applyFont="1" applyFill="1" applyBorder="1" applyAlignment="1">
      <alignment/>
    </xf>
    <xf numFmtId="10" fontId="3" fillId="0" borderId="91" xfId="0" applyNumberFormat="1" applyFont="1" applyFill="1" applyBorder="1" applyAlignment="1">
      <alignment/>
    </xf>
    <xf numFmtId="10" fontId="3" fillId="0" borderId="80" xfId="0" applyNumberFormat="1" applyFont="1" applyFill="1" applyBorder="1" applyAlignment="1">
      <alignment/>
    </xf>
    <xf numFmtId="10" fontId="3" fillId="0" borderId="83" xfId="0" applyNumberFormat="1" applyFont="1" applyFill="1" applyBorder="1" applyAlignment="1">
      <alignment/>
    </xf>
    <xf numFmtId="10" fontId="13" fillId="0" borderId="85" xfId="0" applyNumberFormat="1" applyFont="1" applyFill="1" applyBorder="1" applyAlignment="1">
      <alignment/>
    </xf>
    <xf numFmtId="10" fontId="9" fillId="16" borderId="92" xfId="0" applyNumberFormat="1" applyFont="1" applyFill="1" applyBorder="1" applyAlignment="1">
      <alignment horizontal="right"/>
    </xf>
    <xf numFmtId="10" fontId="3" fillId="0" borderId="68" xfId="0" applyNumberFormat="1" applyFont="1" applyBorder="1" applyAlignment="1">
      <alignment/>
    </xf>
    <xf numFmtId="10" fontId="9" fillId="16" borderId="69" xfId="0" applyNumberFormat="1" applyFont="1" applyFill="1" applyBorder="1" applyAlignment="1">
      <alignment/>
    </xf>
    <xf numFmtId="10" fontId="6" fillId="19" borderId="74" xfId="0" applyNumberFormat="1" applyFont="1" applyFill="1" applyBorder="1" applyAlignment="1">
      <alignment/>
    </xf>
    <xf numFmtId="10" fontId="3" fillId="0" borderId="93" xfId="0" applyNumberFormat="1" applyFont="1" applyBorder="1" applyAlignment="1">
      <alignment/>
    </xf>
    <xf numFmtId="10" fontId="3" fillId="0" borderId="67" xfId="0" applyNumberFormat="1" applyFont="1" applyBorder="1" applyAlignment="1">
      <alignment/>
    </xf>
    <xf numFmtId="10" fontId="8" fillId="19" borderId="69" xfId="0" applyNumberFormat="1" applyFont="1" applyFill="1" applyBorder="1" applyAlignment="1">
      <alignment/>
    </xf>
    <xf numFmtId="3" fontId="9" fillId="16" borderId="94" xfId="0" applyNumberFormat="1" applyFont="1" applyFill="1" applyBorder="1" applyAlignment="1">
      <alignment horizontal="right"/>
    </xf>
    <xf numFmtId="3" fontId="3" fillId="0" borderId="78" xfId="0" applyNumberFormat="1" applyFont="1" applyBorder="1" applyAlignment="1">
      <alignment/>
    </xf>
    <xf numFmtId="3" fontId="9" fillId="16" borderId="25" xfId="0" applyNumberFormat="1" applyFont="1" applyFill="1" applyBorder="1" applyAlignment="1">
      <alignment/>
    </xf>
    <xf numFmtId="3" fontId="6" fillId="19" borderId="44" xfId="0" applyNumberFormat="1" applyFont="1" applyFill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8" fillId="19" borderId="25" xfId="0" applyNumberFormat="1" applyFont="1" applyFill="1" applyBorder="1" applyAlignment="1">
      <alignment/>
    </xf>
    <xf numFmtId="3" fontId="0" fillId="0" borderId="61" xfId="0" applyNumberFormat="1" applyBorder="1" applyAlignment="1">
      <alignment/>
    </xf>
    <xf numFmtId="3" fontId="1" fillId="0" borderId="61" xfId="0" applyNumberFormat="1" applyFont="1" applyBorder="1" applyAlignment="1">
      <alignment/>
    </xf>
    <xf numFmtId="10" fontId="1" fillId="0" borderId="92" xfId="0" applyNumberFormat="1" applyFont="1" applyBorder="1" applyAlignment="1">
      <alignment/>
    </xf>
    <xf numFmtId="10" fontId="1" fillId="16" borderId="76" xfId="0" applyNumberFormat="1" applyFont="1" applyFill="1" applyBorder="1" applyAlignment="1">
      <alignment/>
    </xf>
    <xf numFmtId="10" fontId="0" fillId="0" borderId="92" xfId="0" applyNumberFormat="1" applyBorder="1" applyAlignment="1">
      <alignment/>
    </xf>
    <xf numFmtId="10" fontId="0" fillId="0" borderId="73" xfId="0" applyNumberFormat="1" applyFont="1" applyBorder="1" applyAlignment="1">
      <alignment/>
    </xf>
    <xf numFmtId="10" fontId="0" fillId="0" borderId="70" xfId="0" applyNumberFormat="1" applyFont="1" applyBorder="1" applyAlignment="1">
      <alignment/>
    </xf>
    <xf numFmtId="10" fontId="0" fillId="0" borderId="71" xfId="0" applyNumberFormat="1" applyFont="1" applyBorder="1" applyAlignment="1">
      <alignment/>
    </xf>
    <xf numFmtId="10" fontId="0" fillId="0" borderId="71" xfId="0" applyNumberFormat="1" applyBorder="1" applyAlignment="1">
      <alignment/>
    </xf>
    <xf numFmtId="10" fontId="0" fillId="0" borderId="93" xfId="0" applyNumberFormat="1" applyBorder="1" applyAlignment="1">
      <alignment/>
    </xf>
    <xf numFmtId="10" fontId="3" fillId="0" borderId="70" xfId="0" applyNumberFormat="1" applyFont="1" applyFill="1" applyBorder="1" applyAlignment="1">
      <alignment/>
    </xf>
    <xf numFmtId="0" fontId="12" fillId="19" borderId="95" xfId="0" applyFont="1" applyFill="1" applyBorder="1" applyAlignment="1">
      <alignment/>
    </xf>
    <xf numFmtId="3" fontId="12" fillId="19" borderId="96" xfId="0" applyNumberFormat="1" applyFont="1" applyFill="1" applyBorder="1" applyAlignment="1">
      <alignment/>
    </xf>
    <xf numFmtId="3" fontId="8" fillId="0" borderId="97" xfId="0" applyNumberFormat="1" applyFont="1" applyBorder="1" applyAlignment="1">
      <alignment/>
    </xf>
    <xf numFmtId="10" fontId="0" fillId="0" borderId="98" xfId="0" applyNumberFormat="1" applyBorder="1" applyAlignment="1">
      <alignment/>
    </xf>
    <xf numFmtId="10" fontId="0" fillId="0" borderId="90" xfId="0" applyNumberFormat="1" applyBorder="1" applyAlignment="1">
      <alignment/>
    </xf>
    <xf numFmtId="0" fontId="0" fillId="19" borderId="99" xfId="0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0" fontId="3" fillId="0" borderId="10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0" fontId="3" fillId="0" borderId="86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01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0" fontId="3" fillId="0" borderId="8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/>
    </xf>
    <xf numFmtId="49" fontId="1" fillId="0" borderId="65" xfId="0" applyNumberFormat="1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102" xfId="0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3" fillId="0" borderId="97" xfId="0" applyNumberFormat="1" applyFont="1" applyFill="1" applyBorder="1" applyAlignment="1">
      <alignment/>
    </xf>
    <xf numFmtId="0" fontId="3" fillId="0" borderId="103" xfId="0" applyFont="1" applyFill="1" applyBorder="1" applyAlignment="1">
      <alignment/>
    </xf>
    <xf numFmtId="3" fontId="3" fillId="0" borderId="103" xfId="0" applyNumberFormat="1" applyFont="1" applyFill="1" applyBorder="1" applyAlignment="1">
      <alignment/>
    </xf>
    <xf numFmtId="10" fontId="3" fillId="0" borderId="104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10" fontId="1" fillId="0" borderId="70" xfId="0" applyNumberFormat="1" applyFont="1" applyBorder="1" applyAlignment="1">
      <alignment/>
    </xf>
    <xf numFmtId="0" fontId="17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19" borderId="36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1" fillId="16" borderId="52" xfId="0" applyFont="1" applyFill="1" applyBorder="1" applyAlignment="1">
      <alignment horizontal="center" vertical="center"/>
    </xf>
    <xf numFmtId="0" fontId="11" fillId="16" borderId="9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05" xfId="0" applyFont="1" applyBorder="1" applyAlignment="1">
      <alignment horizontal="left"/>
    </xf>
    <xf numFmtId="0" fontId="2" fillId="16" borderId="99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6" fillId="19" borderId="25" xfId="0" applyFont="1" applyFill="1" applyBorder="1" applyAlignment="1">
      <alignment horizontal="left"/>
    </xf>
    <xf numFmtId="0" fontId="6" fillId="19" borderId="59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16" borderId="106" xfId="0" applyFont="1" applyFill="1" applyBorder="1" applyAlignment="1">
      <alignment horizontal="left"/>
    </xf>
    <xf numFmtId="0" fontId="9" fillId="16" borderId="107" xfId="0" applyFont="1" applyFill="1" applyBorder="1" applyAlignment="1">
      <alignment horizontal="left"/>
    </xf>
    <xf numFmtId="0" fontId="9" fillId="16" borderId="108" xfId="0" applyFont="1" applyFill="1" applyBorder="1" applyAlignment="1">
      <alignment horizontal="left"/>
    </xf>
    <xf numFmtId="0" fontId="1" fillId="0" borderId="10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19" borderId="25" xfId="0" applyFont="1" applyFill="1" applyBorder="1" applyAlignment="1">
      <alignment horizontal="left"/>
    </xf>
    <xf numFmtId="0" fontId="6" fillId="19" borderId="59" xfId="0" applyFont="1" applyFill="1" applyBorder="1" applyAlignment="1">
      <alignment horizontal="left"/>
    </xf>
    <xf numFmtId="0" fontId="9" fillId="16" borderId="25" xfId="0" applyFont="1" applyFill="1" applyBorder="1" applyAlignment="1">
      <alignment horizontal="left"/>
    </xf>
    <xf numFmtId="0" fontId="9" fillId="16" borderId="5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19" borderId="77" xfId="0" applyFont="1" applyFill="1" applyBorder="1" applyAlignment="1">
      <alignment horizontal="left"/>
    </xf>
    <xf numFmtId="0" fontId="6" fillId="19" borderId="60" xfId="0" applyFont="1" applyFill="1" applyBorder="1" applyAlignment="1">
      <alignment horizontal="left"/>
    </xf>
    <xf numFmtId="0" fontId="11" fillId="16" borderId="53" xfId="0" applyFont="1" applyFill="1" applyBorder="1" applyAlignment="1">
      <alignment horizontal="center" vertical="center"/>
    </xf>
    <xf numFmtId="0" fontId="11" fillId="16" borderId="96" xfId="0" applyFont="1" applyFill="1" applyBorder="1" applyAlignment="1">
      <alignment horizontal="center" vertical="center"/>
    </xf>
    <xf numFmtId="0" fontId="1" fillId="16" borderId="110" xfId="0" applyFont="1" applyFill="1" applyBorder="1" applyAlignment="1">
      <alignment horizontal="center" vertical="center"/>
    </xf>
    <xf numFmtId="0" fontId="1" fillId="16" borderId="111" xfId="0" applyFont="1" applyFill="1" applyBorder="1" applyAlignment="1">
      <alignment horizontal="center" vertical="center"/>
    </xf>
    <xf numFmtId="0" fontId="6" fillId="19" borderId="24" xfId="0" applyFont="1" applyFill="1" applyBorder="1" applyAlignment="1">
      <alignment horizontal="left"/>
    </xf>
    <xf numFmtId="0" fontId="1" fillId="0" borderId="95" xfId="0" applyFont="1" applyBorder="1" applyAlignment="1">
      <alignment horizontal="center"/>
    </xf>
    <xf numFmtId="3" fontId="1" fillId="16" borderId="110" xfId="0" applyNumberFormat="1" applyFont="1" applyFill="1" applyBorder="1" applyAlignment="1">
      <alignment horizontal="center" vertical="center" wrapText="1"/>
    </xf>
    <xf numFmtId="3" fontId="1" fillId="16" borderId="111" xfId="0" applyNumberFormat="1" applyFont="1" applyFill="1" applyBorder="1" applyAlignment="1">
      <alignment horizontal="center" vertical="center" wrapText="1"/>
    </xf>
    <xf numFmtId="0" fontId="1" fillId="0" borderId="107" xfId="0" applyFont="1" applyBorder="1" applyAlignment="1">
      <alignment horizontal="left"/>
    </xf>
    <xf numFmtId="0" fontId="2" fillId="16" borderId="11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  <xf numFmtId="0" fontId="1" fillId="16" borderId="96" xfId="0" applyFont="1" applyFill="1" applyBorder="1" applyAlignment="1">
      <alignment horizontal="center" vertical="center" wrapText="1"/>
    </xf>
    <xf numFmtId="0" fontId="11" fillId="16" borderId="52" xfId="0" applyFont="1" applyFill="1" applyBorder="1" applyAlignment="1">
      <alignment horizontal="center" vertical="center" wrapText="1"/>
    </xf>
    <xf numFmtId="0" fontId="11" fillId="16" borderId="95" xfId="0" applyFont="1" applyFill="1" applyBorder="1" applyAlignment="1">
      <alignment horizontal="center" vertical="center" wrapText="1"/>
    </xf>
    <xf numFmtId="0" fontId="11" fillId="16" borderId="53" xfId="0" applyFont="1" applyFill="1" applyBorder="1" applyAlignment="1">
      <alignment horizontal="center" vertical="center" wrapText="1"/>
    </xf>
    <xf numFmtId="0" fontId="11" fillId="16" borderId="96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left"/>
    </xf>
    <xf numFmtId="0" fontId="9" fillId="16" borderId="59" xfId="0" applyFont="1" applyFill="1" applyBorder="1" applyAlignment="1">
      <alignment horizontal="left"/>
    </xf>
    <xf numFmtId="0" fontId="9" fillId="16" borderId="77" xfId="0" applyFont="1" applyFill="1" applyBorder="1" applyAlignment="1">
      <alignment horizontal="left"/>
    </xf>
    <xf numFmtId="0" fontId="9" fillId="16" borderId="60" xfId="0" applyFont="1" applyFill="1" applyBorder="1" applyAlignment="1">
      <alignment horizontal="left"/>
    </xf>
    <xf numFmtId="0" fontId="1" fillId="0" borderId="1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3" fontId="1" fillId="16" borderId="53" xfId="0" applyNumberFormat="1" applyFont="1" applyFill="1" applyBorder="1" applyAlignment="1">
      <alignment horizontal="center" vertical="center" wrapText="1"/>
    </xf>
    <xf numFmtId="3" fontId="1" fillId="16" borderId="9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16" fontId="1" fillId="16" borderId="53" xfId="0" applyNumberFormat="1" applyFont="1" applyFill="1" applyBorder="1" applyAlignment="1">
      <alignment horizontal="center" vertical="center" wrapText="1"/>
    </xf>
    <xf numFmtId="16" fontId="1" fillId="16" borderId="96" xfId="0" applyNumberFormat="1" applyFont="1" applyFill="1" applyBorder="1" applyAlignment="1">
      <alignment horizontal="center" vertical="center" wrapText="1"/>
    </xf>
    <xf numFmtId="49" fontId="6" fillId="19" borderId="25" xfId="0" applyNumberFormat="1" applyFont="1" applyFill="1" applyBorder="1" applyAlignment="1">
      <alignment horizontal="left"/>
    </xf>
    <xf numFmtId="49" fontId="6" fillId="19" borderId="59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49" fontId="6" fillId="0" borderId="109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1" fillId="0" borderId="10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49" fontId="5" fillId="16" borderId="52" xfId="0" applyNumberFormat="1" applyFont="1" applyFill="1" applyBorder="1" applyAlignment="1">
      <alignment horizontal="center" vertical="center" wrapText="1"/>
    </xf>
    <xf numFmtId="49" fontId="5" fillId="16" borderId="9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/>
    </xf>
    <xf numFmtId="0" fontId="1" fillId="16" borderId="96" xfId="0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/>
    </xf>
    <xf numFmtId="0" fontId="6" fillId="19" borderId="94" xfId="0" applyFont="1" applyFill="1" applyBorder="1" applyAlignment="1">
      <alignment horizontal="left" vertical="center" wrapText="1"/>
    </xf>
    <xf numFmtId="0" fontId="6" fillId="19" borderId="114" xfId="0" applyFont="1" applyFill="1" applyBorder="1" applyAlignment="1">
      <alignment horizontal="left" vertical="center" wrapText="1"/>
    </xf>
    <xf numFmtId="16" fontId="6" fillId="0" borderId="109" xfId="0" applyNumberFormat="1" applyFont="1" applyFill="1" applyBorder="1" applyAlignment="1">
      <alignment horizontal="center"/>
    </xf>
    <xf numFmtId="16" fontId="6" fillId="0" borderId="37" xfId="0" applyNumberFormat="1" applyFont="1" applyFill="1" applyBorder="1" applyAlignment="1">
      <alignment horizontal="center"/>
    </xf>
    <xf numFmtId="16" fontId="6" fillId="0" borderId="39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49" fontId="6" fillId="19" borderId="77" xfId="0" applyNumberFormat="1" applyFont="1" applyFill="1" applyBorder="1" applyAlignment="1">
      <alignment horizontal="left"/>
    </xf>
    <xf numFmtId="49" fontId="6" fillId="19" borderId="60" xfId="0" applyNumberFormat="1" applyFont="1" applyFill="1" applyBorder="1" applyAlignment="1">
      <alignment horizontal="left"/>
    </xf>
    <xf numFmtId="0" fontId="6" fillId="0" borderId="10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19" borderId="77" xfId="0" applyFont="1" applyFill="1" applyBorder="1" applyAlignment="1">
      <alignment horizontal="left" vertical="center" wrapText="1"/>
    </xf>
    <xf numFmtId="0" fontId="6" fillId="19" borderId="60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2" fillId="16" borderId="89" xfId="0" applyFont="1" applyFill="1" applyBorder="1" applyAlignment="1">
      <alignment horizontal="center" vertical="center" wrapText="1"/>
    </xf>
    <xf numFmtId="0" fontId="2" fillId="16" borderId="115" xfId="0" applyFont="1" applyFill="1" applyBorder="1" applyAlignment="1">
      <alignment horizontal="center" vertical="center" wrapText="1"/>
    </xf>
    <xf numFmtId="16" fontId="1" fillId="0" borderId="105" xfId="0" applyNumberFormat="1" applyFont="1" applyFill="1" applyBorder="1" applyAlignment="1">
      <alignment horizontal="left"/>
    </xf>
    <xf numFmtId="0" fontId="0" fillId="0" borderId="9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0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49" fontId="1" fillId="0" borderId="109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6" fillId="19" borderId="11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16" fontId="1" fillId="0" borderId="105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left"/>
    </xf>
    <xf numFmtId="173" fontId="1" fillId="0" borderId="35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49" fontId="1" fillId="0" borderId="95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6" xfId="0" applyBorder="1" applyAlignment="1">
      <alignment horizontal="left"/>
    </xf>
    <xf numFmtId="0" fontId="1" fillId="16" borderId="106" xfId="0" applyFont="1" applyFill="1" applyBorder="1" applyAlignment="1">
      <alignment horizontal="left"/>
    </xf>
    <xf numFmtId="0" fontId="1" fillId="16" borderId="107" xfId="0" applyFont="1" applyFill="1" applyBorder="1" applyAlignment="1">
      <alignment horizontal="left"/>
    </xf>
    <xf numFmtId="0" fontId="1" fillId="16" borderId="108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10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5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05" xfId="0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89" xfId="0" applyBorder="1" applyAlignment="1">
      <alignment horizontal="center"/>
    </xf>
    <xf numFmtId="0" fontId="12" fillId="0" borderId="106" xfId="0" applyFont="1" applyBorder="1" applyAlignment="1">
      <alignment horizontal="left" vertical="center"/>
    </xf>
    <xf numFmtId="0" fontId="12" fillId="0" borderId="107" xfId="0" applyFont="1" applyBorder="1" applyAlignment="1">
      <alignment horizontal="left" vertical="center"/>
    </xf>
    <xf numFmtId="0" fontId="12" fillId="0" borderId="88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O129"/>
  <sheetViews>
    <sheetView showGridLines="0" zoomScalePageLayoutView="0" workbookViewId="0" topLeftCell="A1">
      <selection activeCell="B1" sqref="B1:I1"/>
    </sheetView>
  </sheetViews>
  <sheetFormatPr defaultColWidth="9.140625" defaultRowHeight="12.75"/>
  <cols>
    <col min="1" max="1" width="1.421875" style="0" customWidth="1"/>
    <col min="2" max="2" width="8.140625" style="116" customWidth="1"/>
    <col min="3" max="3" width="8.140625" style="412" customWidth="1"/>
    <col min="4" max="4" width="36.00390625" style="412" customWidth="1"/>
    <col min="5" max="5" width="14.00390625" style="409" customWidth="1"/>
    <col min="6" max="6" width="12.8515625" style="409" customWidth="1"/>
    <col min="7" max="8" width="12.57421875" style="409" customWidth="1"/>
    <col min="9" max="9" width="12.28125" style="412" customWidth="1"/>
    <col min="10" max="10" width="11.421875" style="0" bestFit="1" customWidth="1"/>
    <col min="11" max="11" width="16.28125" style="0" customWidth="1"/>
    <col min="12" max="12" width="10.8515625" style="0" bestFit="1" customWidth="1"/>
    <col min="13" max="13" width="11.421875" style="0" bestFit="1" customWidth="1"/>
    <col min="15" max="15" width="11.421875" style="0" bestFit="1" customWidth="1"/>
  </cols>
  <sheetData>
    <row r="1" spans="2:9" ht="12.75">
      <c r="B1" s="431" t="s">
        <v>238</v>
      </c>
      <c r="C1" s="431"/>
      <c r="D1" s="431"/>
      <c r="E1" s="431"/>
      <c r="F1" s="431"/>
      <c r="G1" s="431"/>
      <c r="H1" s="431"/>
      <c r="I1" s="431"/>
    </row>
    <row r="2" spans="2:9" ht="13.5" thickBot="1">
      <c r="B2" s="432" t="s">
        <v>78</v>
      </c>
      <c r="C2" s="432"/>
      <c r="D2" s="432"/>
      <c r="E2" s="432"/>
      <c r="F2" s="432"/>
      <c r="G2" s="432"/>
      <c r="H2" s="432"/>
      <c r="I2" s="432"/>
    </row>
    <row r="3" spans="2:12" ht="13.5" customHeight="1" thickTop="1">
      <c r="B3" s="469" t="s">
        <v>114</v>
      </c>
      <c r="C3" s="471" t="s">
        <v>61</v>
      </c>
      <c r="D3" s="467" t="s">
        <v>129</v>
      </c>
      <c r="E3" s="467" t="s">
        <v>356</v>
      </c>
      <c r="F3" s="467" t="s">
        <v>355</v>
      </c>
      <c r="G3" s="467" t="s">
        <v>357</v>
      </c>
      <c r="H3" s="463" t="s">
        <v>305</v>
      </c>
      <c r="I3" s="466" t="s">
        <v>358</v>
      </c>
      <c r="K3" s="395"/>
      <c r="L3" s="395"/>
    </row>
    <row r="4" spans="2:12" ht="35.25" customHeight="1" thickBot="1">
      <c r="B4" s="470"/>
      <c r="C4" s="472"/>
      <c r="D4" s="468"/>
      <c r="E4" s="468"/>
      <c r="F4" s="468"/>
      <c r="G4" s="468"/>
      <c r="H4" s="464"/>
      <c r="I4" s="433"/>
      <c r="K4" s="395"/>
      <c r="L4" s="395"/>
    </row>
    <row r="5" spans="2:9" s="66" customFormat="1" ht="17.25" thickBot="1" thickTop="1">
      <c r="B5" s="183">
        <v>100</v>
      </c>
      <c r="C5" s="475" t="s">
        <v>80</v>
      </c>
      <c r="D5" s="476"/>
      <c r="E5" s="184">
        <f>E6+E8+E13</f>
        <v>5169506</v>
      </c>
      <c r="F5" s="184">
        <f>F6+F8+F13</f>
        <v>4342169</v>
      </c>
      <c r="G5" s="184">
        <f>G6+G8+G13</f>
        <v>4854649</v>
      </c>
      <c r="H5" s="293">
        <v>4342714</v>
      </c>
      <c r="I5" s="265">
        <f>IF(H5=0,0,F5/H5)</f>
        <v>0.9998745024424818</v>
      </c>
    </row>
    <row r="6" spans="2:9" s="65" customFormat="1" ht="15.75" thickBot="1">
      <c r="B6" s="175">
        <v>110</v>
      </c>
      <c r="C6" s="435" t="s">
        <v>81</v>
      </c>
      <c r="D6" s="436"/>
      <c r="E6" s="165">
        <f>E7</f>
        <v>4537123</v>
      </c>
      <c r="F6" s="165">
        <f>F7</f>
        <v>3726916</v>
      </c>
      <c r="G6" s="165">
        <f>G7</f>
        <v>4243649</v>
      </c>
      <c r="H6" s="294">
        <v>3720364</v>
      </c>
      <c r="I6" s="266">
        <f aca="true" t="shared" si="0" ref="I6:I46">IF(H6=0,0,F6/H6)</f>
        <v>1.0017611179981314</v>
      </c>
    </row>
    <row r="7" spans="2:11" s="55" customFormat="1" ht="13.5" thickBot="1">
      <c r="B7" s="176"/>
      <c r="C7" s="54"/>
      <c r="D7" s="73" t="s">
        <v>115</v>
      </c>
      <c r="E7" s="206">
        <v>4537123</v>
      </c>
      <c r="F7" s="206">
        <v>3726916</v>
      </c>
      <c r="G7" s="206">
        <v>4243649</v>
      </c>
      <c r="H7" s="295">
        <v>3720364</v>
      </c>
      <c r="I7" s="267">
        <f>IF(H7=0,0,F7/H7)</f>
        <v>1.0017611179981314</v>
      </c>
      <c r="K7" s="67"/>
    </row>
    <row r="8" spans="2:9" s="65" customFormat="1" ht="15.75" thickBot="1">
      <c r="B8" s="177">
        <v>120</v>
      </c>
      <c r="C8" s="450" t="s">
        <v>119</v>
      </c>
      <c r="D8" s="451"/>
      <c r="E8" s="90">
        <f>E9</f>
        <v>341843</v>
      </c>
      <c r="F8" s="90">
        <f>F9</f>
        <v>316587</v>
      </c>
      <c r="G8" s="90">
        <f>G9</f>
        <v>331950</v>
      </c>
      <c r="H8" s="296">
        <v>331950</v>
      </c>
      <c r="I8" s="268">
        <f t="shared" si="0"/>
        <v>0.9537189335743335</v>
      </c>
    </row>
    <row r="9" spans="2:9" s="5" customFormat="1" ht="13.5" thickBot="1">
      <c r="B9" s="477"/>
      <c r="C9" s="54">
        <v>121</v>
      </c>
      <c r="D9" s="48" t="s">
        <v>82</v>
      </c>
      <c r="E9" s="166">
        <f>SUM(E10:E12)</f>
        <v>341843</v>
      </c>
      <c r="F9" s="166">
        <f>SUM(F10:F12)</f>
        <v>316587</v>
      </c>
      <c r="G9" s="166">
        <f>SUM(G10:G12)</f>
        <v>331950</v>
      </c>
      <c r="H9" s="297">
        <v>331950</v>
      </c>
      <c r="I9" s="269">
        <f t="shared" si="0"/>
        <v>0.9537189335743335</v>
      </c>
    </row>
    <row r="10" spans="2:9" ht="12.75">
      <c r="B10" s="478"/>
      <c r="C10" s="437"/>
      <c r="D10" s="51" t="s">
        <v>116</v>
      </c>
      <c r="E10" s="78">
        <v>341843</v>
      </c>
      <c r="F10" s="78">
        <v>51780</v>
      </c>
      <c r="G10" s="78">
        <v>57430</v>
      </c>
      <c r="H10" s="298">
        <v>57430</v>
      </c>
      <c r="I10" s="270">
        <f>IF(H10=0,0,F10/H10)</f>
        <v>0.9016193627024204</v>
      </c>
    </row>
    <row r="11" spans="2:11" ht="12.75">
      <c r="B11" s="478"/>
      <c r="C11" s="454"/>
      <c r="D11" s="52" t="s">
        <v>117</v>
      </c>
      <c r="E11" s="63"/>
      <c r="F11" s="63">
        <v>234536</v>
      </c>
      <c r="G11" s="63">
        <v>254600</v>
      </c>
      <c r="H11" s="299">
        <v>254600</v>
      </c>
      <c r="I11" s="271">
        <f t="shared" si="0"/>
        <v>0.9211940298507463</v>
      </c>
      <c r="K11" s="43"/>
    </row>
    <row r="12" spans="2:11" ht="13.5" thickBot="1">
      <c r="B12" s="479"/>
      <c r="C12" s="438"/>
      <c r="D12" s="53" t="s">
        <v>118</v>
      </c>
      <c r="E12" s="64"/>
      <c r="F12" s="64">
        <v>30271</v>
      </c>
      <c r="G12" s="64">
        <v>19920</v>
      </c>
      <c r="H12" s="300">
        <v>19920</v>
      </c>
      <c r="I12" s="272">
        <f t="shared" si="0"/>
        <v>1.519628514056225</v>
      </c>
      <c r="K12" s="43"/>
    </row>
    <row r="13" spans="2:11" s="65" customFormat="1" ht="15.75" thickBot="1">
      <c r="B13" s="178">
        <v>130</v>
      </c>
      <c r="C13" s="450" t="s">
        <v>120</v>
      </c>
      <c r="D13" s="451"/>
      <c r="E13" s="90">
        <f>E14</f>
        <v>290540</v>
      </c>
      <c r="F13" s="90">
        <f>F14</f>
        <v>298666</v>
      </c>
      <c r="G13" s="90">
        <f>G14</f>
        <v>279050</v>
      </c>
      <c r="H13" s="296">
        <v>290400</v>
      </c>
      <c r="I13" s="268">
        <f t="shared" si="0"/>
        <v>1.0284641873278237</v>
      </c>
      <c r="K13" s="394"/>
    </row>
    <row r="14" spans="2:11" s="5" customFormat="1" ht="13.5" thickBot="1">
      <c r="B14" s="442"/>
      <c r="C14" s="68">
        <v>133</v>
      </c>
      <c r="D14" s="49" t="s">
        <v>83</v>
      </c>
      <c r="E14" s="167">
        <f>SUM(E15:E21)</f>
        <v>290540</v>
      </c>
      <c r="F14" s="167">
        <f>SUM(F15:F21)</f>
        <v>298666</v>
      </c>
      <c r="G14" s="167">
        <f>SUM(G15:G21)</f>
        <v>279050</v>
      </c>
      <c r="H14" s="301">
        <v>290400</v>
      </c>
      <c r="I14" s="273">
        <f t="shared" si="0"/>
        <v>1.0284641873278237</v>
      </c>
      <c r="K14" s="428"/>
    </row>
    <row r="15" spans="2:9" ht="12.75">
      <c r="B15" s="443"/>
      <c r="C15" s="447"/>
      <c r="D15" s="56" t="s">
        <v>84</v>
      </c>
      <c r="E15" s="57">
        <v>7251</v>
      </c>
      <c r="F15" s="57">
        <v>7752</v>
      </c>
      <c r="G15" s="57">
        <v>7600</v>
      </c>
      <c r="H15" s="302">
        <v>7600</v>
      </c>
      <c r="I15" s="274">
        <f t="shared" si="0"/>
        <v>1.02</v>
      </c>
    </row>
    <row r="16" spans="2:9" ht="12.75">
      <c r="B16" s="443"/>
      <c r="C16" s="448"/>
      <c r="D16" s="58" t="s">
        <v>85</v>
      </c>
      <c r="E16" s="59">
        <v>1296</v>
      </c>
      <c r="F16" s="59">
        <v>532</v>
      </c>
      <c r="G16" s="59">
        <v>1300</v>
      </c>
      <c r="H16" s="303">
        <v>1300</v>
      </c>
      <c r="I16" s="275">
        <f t="shared" si="0"/>
        <v>0.40923076923076923</v>
      </c>
    </row>
    <row r="17" spans="2:9" ht="12.75">
      <c r="B17" s="443"/>
      <c r="C17" s="448"/>
      <c r="D17" s="58" t="s">
        <v>86</v>
      </c>
      <c r="E17" s="59">
        <v>700</v>
      </c>
      <c r="F17" s="59">
        <v>700</v>
      </c>
      <c r="G17" s="59">
        <v>700</v>
      </c>
      <c r="H17" s="303">
        <v>700</v>
      </c>
      <c r="I17" s="275">
        <f t="shared" si="0"/>
        <v>1</v>
      </c>
    </row>
    <row r="18" spans="2:9" ht="12.75">
      <c r="B18" s="443"/>
      <c r="C18" s="448"/>
      <c r="D18" s="58" t="s">
        <v>87</v>
      </c>
      <c r="E18" s="59">
        <v>11509</v>
      </c>
      <c r="F18" s="59">
        <v>12441</v>
      </c>
      <c r="G18" s="59">
        <v>12500</v>
      </c>
      <c r="H18" s="303">
        <v>12500</v>
      </c>
      <c r="I18" s="275">
        <f t="shared" si="0"/>
        <v>0.99528</v>
      </c>
    </row>
    <row r="19" spans="2:9" ht="12.75">
      <c r="B19" s="443"/>
      <c r="C19" s="448"/>
      <c r="D19" s="58" t="s">
        <v>243</v>
      </c>
      <c r="E19" s="59">
        <v>25666</v>
      </c>
      <c r="F19" s="59">
        <v>28263</v>
      </c>
      <c r="G19" s="59">
        <v>8000</v>
      </c>
      <c r="H19" s="303">
        <v>19350</v>
      </c>
      <c r="I19" s="275">
        <f t="shared" si="0"/>
        <v>1.4606201550387596</v>
      </c>
    </row>
    <row r="20" spans="2:12" ht="12.75">
      <c r="B20" s="443"/>
      <c r="C20" s="448"/>
      <c r="D20" s="58" t="s">
        <v>88</v>
      </c>
      <c r="E20" s="59">
        <v>157467</v>
      </c>
      <c r="F20" s="59">
        <v>162034</v>
      </c>
      <c r="G20" s="59">
        <v>165970</v>
      </c>
      <c r="H20" s="303">
        <v>165970</v>
      </c>
      <c r="I20" s="275">
        <f t="shared" si="0"/>
        <v>0.9762848707597759</v>
      </c>
      <c r="K20" s="43"/>
      <c r="L20" s="43">
        <f>F20+F21</f>
        <v>248978</v>
      </c>
    </row>
    <row r="21" spans="2:9" ht="13.5" thickBot="1">
      <c r="B21" s="443"/>
      <c r="C21" s="448"/>
      <c r="D21" s="58" t="s">
        <v>89</v>
      </c>
      <c r="E21" s="59">
        <v>86651</v>
      </c>
      <c r="F21" s="59">
        <v>86944</v>
      </c>
      <c r="G21" s="59">
        <v>82980</v>
      </c>
      <c r="H21" s="303">
        <v>82980</v>
      </c>
      <c r="I21" s="275">
        <f t="shared" si="0"/>
        <v>1.047770547119788</v>
      </c>
    </row>
    <row r="22" spans="2:11" s="66" customFormat="1" ht="16.5" thickBot="1">
      <c r="B22" s="174">
        <v>200</v>
      </c>
      <c r="C22" s="473" t="s">
        <v>121</v>
      </c>
      <c r="D22" s="474"/>
      <c r="E22" s="168">
        <f>E23+E33+E50+E52</f>
        <v>1266222</v>
      </c>
      <c r="F22" s="168">
        <f>F23+F33+F50+F52</f>
        <v>1215651</v>
      </c>
      <c r="G22" s="168">
        <f>G23+G33+G50+G52</f>
        <v>984434</v>
      </c>
      <c r="H22" s="304">
        <v>1146434</v>
      </c>
      <c r="I22" s="276">
        <f t="shared" si="0"/>
        <v>1.060375913484771</v>
      </c>
      <c r="J22" s="253"/>
      <c r="K22" s="253"/>
    </row>
    <row r="23" spans="2:12" s="47" customFormat="1" ht="15.75" thickBot="1">
      <c r="B23" s="179">
        <v>210</v>
      </c>
      <c r="C23" s="435" t="s">
        <v>122</v>
      </c>
      <c r="D23" s="461"/>
      <c r="E23" s="169">
        <f>E24+E28</f>
        <v>810580</v>
      </c>
      <c r="F23" s="169">
        <f>F24+F28</f>
        <v>598394</v>
      </c>
      <c r="G23" s="169">
        <f>G24+G28</f>
        <v>702877</v>
      </c>
      <c r="H23" s="305">
        <v>674685</v>
      </c>
      <c r="I23" s="277">
        <f t="shared" si="0"/>
        <v>0.8869235272756916</v>
      </c>
      <c r="L23" s="393"/>
    </row>
    <row r="24" spans="2:9" s="55" customFormat="1" ht="13.5" thickBot="1">
      <c r="B24" s="442" t="s">
        <v>90</v>
      </c>
      <c r="C24" s="54">
        <v>211</v>
      </c>
      <c r="D24" s="50" t="s">
        <v>122</v>
      </c>
      <c r="E24" s="74">
        <f>SUM(E25:E27)</f>
        <v>38822</v>
      </c>
      <c r="F24" s="74">
        <f>SUM(F25:F27)</f>
        <v>66052</v>
      </c>
      <c r="G24" s="74">
        <f>SUM(G25:G27)</f>
        <v>67460</v>
      </c>
      <c r="H24" s="306">
        <v>67460</v>
      </c>
      <c r="I24" s="278">
        <f t="shared" si="0"/>
        <v>0.9791283723688111</v>
      </c>
    </row>
    <row r="25" spans="2:9" ht="12.75">
      <c r="B25" s="443"/>
      <c r="C25" s="437"/>
      <c r="D25" s="71" t="s">
        <v>91</v>
      </c>
      <c r="E25" s="72"/>
      <c r="F25" s="72"/>
      <c r="G25" s="72">
        <v>1460</v>
      </c>
      <c r="H25" s="307">
        <v>1460</v>
      </c>
      <c r="I25" s="279">
        <f t="shared" si="0"/>
        <v>0</v>
      </c>
    </row>
    <row r="26" spans="2:9" ht="12.75">
      <c r="B26" s="443"/>
      <c r="C26" s="454"/>
      <c r="D26" s="58" t="s">
        <v>254</v>
      </c>
      <c r="E26" s="59"/>
      <c r="F26" s="59"/>
      <c r="G26" s="59"/>
      <c r="H26" s="303">
        <v>0</v>
      </c>
      <c r="I26" s="275">
        <f t="shared" si="0"/>
        <v>0</v>
      </c>
    </row>
    <row r="27" spans="2:9" ht="13.5" thickBot="1">
      <c r="B27" s="443"/>
      <c r="C27" s="438"/>
      <c r="D27" s="60" t="s">
        <v>92</v>
      </c>
      <c r="E27" s="61">
        <v>38822</v>
      </c>
      <c r="F27" s="61">
        <v>66052</v>
      </c>
      <c r="G27" s="61">
        <v>66000</v>
      </c>
      <c r="H27" s="308">
        <v>66000</v>
      </c>
      <c r="I27" s="280">
        <f t="shared" si="0"/>
        <v>1.0007878787878788</v>
      </c>
    </row>
    <row r="28" spans="2:11" ht="13.5" thickBot="1">
      <c r="B28" s="443"/>
      <c r="C28" s="2">
        <v>212</v>
      </c>
      <c r="D28" s="44" t="s">
        <v>93</v>
      </c>
      <c r="E28" s="170">
        <f>SUM(E29:E32)</f>
        <v>771758</v>
      </c>
      <c r="F28" s="170">
        <f>SUM(F29:F32)</f>
        <v>532342</v>
      </c>
      <c r="G28" s="170">
        <f>SUM(G29:G32)</f>
        <v>635417</v>
      </c>
      <c r="H28" s="309">
        <v>607225</v>
      </c>
      <c r="I28" s="281">
        <f t="shared" si="0"/>
        <v>0.8766799785911318</v>
      </c>
      <c r="K28" s="43"/>
    </row>
    <row r="29" spans="2:9" ht="12.75">
      <c r="B29" s="443"/>
      <c r="C29" s="447"/>
      <c r="D29" s="69" t="s">
        <v>94</v>
      </c>
      <c r="E29" s="57">
        <v>427233</v>
      </c>
      <c r="F29" s="57">
        <v>348791</v>
      </c>
      <c r="G29" s="57">
        <v>232400</v>
      </c>
      <c r="H29" s="302">
        <v>332400</v>
      </c>
      <c r="I29" s="274">
        <f t="shared" si="0"/>
        <v>1.0493110709987967</v>
      </c>
    </row>
    <row r="30" spans="2:9" ht="12.75">
      <c r="B30" s="443"/>
      <c r="C30" s="448"/>
      <c r="D30" s="70" t="s">
        <v>95</v>
      </c>
      <c r="E30" s="59">
        <v>7235</v>
      </c>
      <c r="F30" s="59">
        <v>7034</v>
      </c>
      <c r="G30" s="59">
        <v>6000</v>
      </c>
      <c r="H30" s="303">
        <v>6000</v>
      </c>
      <c r="I30" s="275">
        <f t="shared" si="0"/>
        <v>1.1723333333333332</v>
      </c>
    </row>
    <row r="31" spans="2:11" ht="12.75">
      <c r="B31" s="443"/>
      <c r="C31" s="448"/>
      <c r="D31" s="210" t="s">
        <v>245</v>
      </c>
      <c r="E31" s="94">
        <v>322656</v>
      </c>
      <c r="F31" s="94">
        <v>92953</v>
      </c>
      <c r="G31" s="94">
        <v>321090</v>
      </c>
      <c r="H31" s="303">
        <v>192898</v>
      </c>
      <c r="I31" s="275">
        <f t="shared" si="0"/>
        <v>0.48187643210401354</v>
      </c>
      <c r="K31" s="43"/>
    </row>
    <row r="32" spans="2:11" ht="13.5" thickBot="1">
      <c r="B32" s="446"/>
      <c r="C32" s="449"/>
      <c r="D32" s="203" t="s">
        <v>96</v>
      </c>
      <c r="E32" s="61">
        <v>14634</v>
      </c>
      <c r="F32" s="61">
        <v>83564</v>
      </c>
      <c r="G32" s="61">
        <v>75927</v>
      </c>
      <c r="H32" s="308">
        <v>75927</v>
      </c>
      <c r="I32" s="280">
        <f t="shared" si="0"/>
        <v>1.1005834551608782</v>
      </c>
      <c r="K32" s="7"/>
    </row>
    <row r="33" spans="2:11" s="47" customFormat="1" ht="15.75" thickBot="1">
      <c r="B33" s="178">
        <v>220</v>
      </c>
      <c r="C33" s="435" t="s">
        <v>97</v>
      </c>
      <c r="D33" s="461"/>
      <c r="E33" s="41">
        <f>E34+E37+E45</f>
        <v>326610</v>
      </c>
      <c r="F33" s="41">
        <f>F34+F37+F45</f>
        <v>550895</v>
      </c>
      <c r="G33" s="41">
        <f>G34+G37+G45</f>
        <v>251707</v>
      </c>
      <c r="H33" s="310">
        <v>441899</v>
      </c>
      <c r="I33" s="282">
        <f t="shared" si="0"/>
        <v>1.2466536471003555</v>
      </c>
      <c r="K33" s="393"/>
    </row>
    <row r="34" spans="2:9" s="55" customFormat="1" ht="13.5" thickBot="1">
      <c r="B34" s="442"/>
      <c r="C34" s="2">
        <v>221</v>
      </c>
      <c r="D34" s="46" t="s">
        <v>123</v>
      </c>
      <c r="E34" s="3">
        <f>SUM(E35:E36)</f>
        <v>110441</v>
      </c>
      <c r="F34" s="3">
        <f>SUM(F35:F36)</f>
        <v>116883</v>
      </c>
      <c r="G34" s="3">
        <f>SUM(G35:G36)</f>
        <v>99600</v>
      </c>
      <c r="H34" s="311">
        <v>99600</v>
      </c>
      <c r="I34" s="283">
        <f t="shared" si="0"/>
        <v>1.1735240963855422</v>
      </c>
    </row>
    <row r="35" spans="2:11" ht="12.75">
      <c r="B35" s="443"/>
      <c r="C35" s="447"/>
      <c r="D35" s="56" t="s">
        <v>98</v>
      </c>
      <c r="E35" s="57">
        <v>103964</v>
      </c>
      <c r="F35" s="57">
        <v>97289</v>
      </c>
      <c r="G35" s="57">
        <v>99600</v>
      </c>
      <c r="H35" s="302">
        <v>99600</v>
      </c>
      <c r="I35" s="274">
        <f t="shared" si="0"/>
        <v>0.9767971887550201</v>
      </c>
      <c r="K35" s="43"/>
    </row>
    <row r="36" spans="2:9" ht="13.5" thickBot="1">
      <c r="B36" s="443"/>
      <c r="C36" s="449"/>
      <c r="D36" s="60" t="s">
        <v>99</v>
      </c>
      <c r="E36" s="61">
        <v>6477</v>
      </c>
      <c r="F36" s="61">
        <v>19594</v>
      </c>
      <c r="G36" s="61"/>
      <c r="H36" s="308">
        <v>0</v>
      </c>
      <c r="I36" s="280">
        <f t="shared" si="0"/>
        <v>0</v>
      </c>
    </row>
    <row r="37" spans="2:11" ht="13.5" thickBot="1">
      <c r="B37" s="443"/>
      <c r="C37" s="2">
        <v>223</v>
      </c>
      <c r="D37" s="44" t="s">
        <v>100</v>
      </c>
      <c r="E37" s="3">
        <f>SUM(E38:E44)</f>
        <v>213694</v>
      </c>
      <c r="F37" s="3">
        <f>SUM(F38:F44)</f>
        <v>431444</v>
      </c>
      <c r="G37" s="3">
        <f>SUM(G38:G44)</f>
        <v>149607</v>
      </c>
      <c r="H37" s="311">
        <v>339799</v>
      </c>
      <c r="I37" s="283">
        <f t="shared" si="0"/>
        <v>1.2697035600457918</v>
      </c>
      <c r="K37" s="43"/>
    </row>
    <row r="38" spans="2:9" ht="12.75">
      <c r="B38" s="443"/>
      <c r="C38" s="447"/>
      <c r="D38" s="56" t="s">
        <v>101</v>
      </c>
      <c r="E38" s="57">
        <v>18899</v>
      </c>
      <c r="F38" s="57">
        <v>18493</v>
      </c>
      <c r="G38" s="57">
        <v>9960</v>
      </c>
      <c r="H38" s="302">
        <v>9960</v>
      </c>
      <c r="I38" s="274">
        <f t="shared" si="0"/>
        <v>1.8567269076305222</v>
      </c>
    </row>
    <row r="39" spans="2:9" ht="12.75">
      <c r="B39" s="443"/>
      <c r="C39" s="448"/>
      <c r="D39" s="58" t="s">
        <v>102</v>
      </c>
      <c r="E39" s="59">
        <v>24483</v>
      </c>
      <c r="F39" s="59">
        <v>22354</v>
      </c>
      <c r="G39" s="59">
        <v>16600</v>
      </c>
      <c r="H39" s="303">
        <v>16600</v>
      </c>
      <c r="I39" s="275">
        <f t="shared" si="0"/>
        <v>1.3466265060240963</v>
      </c>
    </row>
    <row r="40" spans="2:9" ht="12.75">
      <c r="B40" s="443"/>
      <c r="C40" s="448"/>
      <c r="D40" s="58" t="s">
        <v>103</v>
      </c>
      <c r="E40" s="59">
        <v>27018</v>
      </c>
      <c r="F40" s="59">
        <v>22148</v>
      </c>
      <c r="G40" s="59">
        <v>18260</v>
      </c>
      <c r="H40" s="303">
        <v>18260</v>
      </c>
      <c r="I40" s="275">
        <f t="shared" si="0"/>
        <v>1.2129244249726177</v>
      </c>
    </row>
    <row r="41" spans="2:9" ht="12.75">
      <c r="B41" s="443"/>
      <c r="C41" s="448"/>
      <c r="D41" s="58" t="s">
        <v>104</v>
      </c>
      <c r="E41" s="59">
        <f>13682+47</f>
        <v>13729</v>
      </c>
      <c r="F41" s="59">
        <f>18348+32</f>
        <v>18380</v>
      </c>
      <c r="G41" s="59">
        <v>16930</v>
      </c>
      <c r="H41" s="303">
        <v>16930</v>
      </c>
      <c r="I41" s="275">
        <f t="shared" si="0"/>
        <v>1.0856467808623744</v>
      </c>
    </row>
    <row r="42" spans="2:9" ht="12.75">
      <c r="B42" s="443"/>
      <c r="C42" s="448"/>
      <c r="D42" s="262" t="s">
        <v>345</v>
      </c>
      <c r="E42" s="94"/>
      <c r="F42" s="94">
        <v>148745</v>
      </c>
      <c r="G42" s="94"/>
      <c r="H42" s="303">
        <v>138634</v>
      </c>
      <c r="I42" s="275">
        <f t="shared" si="0"/>
        <v>1.0729330467273541</v>
      </c>
    </row>
    <row r="43" spans="2:9" ht="12.75">
      <c r="B43" s="443"/>
      <c r="C43" s="448"/>
      <c r="D43" s="262" t="s">
        <v>346</v>
      </c>
      <c r="E43" s="94"/>
      <c r="F43" s="94">
        <v>55451</v>
      </c>
      <c r="G43" s="94"/>
      <c r="H43" s="303">
        <v>49558</v>
      </c>
      <c r="I43" s="275">
        <f t="shared" si="0"/>
        <v>1.1189111747851004</v>
      </c>
    </row>
    <row r="44" spans="2:11" ht="13.5" thickBot="1">
      <c r="B44" s="443"/>
      <c r="C44" s="449"/>
      <c r="D44" s="84" t="s">
        <v>105</v>
      </c>
      <c r="E44" s="94">
        <v>129565</v>
      </c>
      <c r="F44" s="24">
        <f>199+142009+3665</f>
        <v>145873</v>
      </c>
      <c r="G44" s="24">
        <f>87557+300</f>
        <v>87857</v>
      </c>
      <c r="H44" s="312">
        <v>89857</v>
      </c>
      <c r="I44" s="284">
        <f t="shared" si="0"/>
        <v>1.6233904982360863</v>
      </c>
      <c r="K44" s="43"/>
    </row>
    <row r="45" spans="2:11" ht="13.5" thickBot="1">
      <c r="B45" s="443"/>
      <c r="C45" s="2">
        <v>229</v>
      </c>
      <c r="D45" s="44" t="s">
        <v>106</v>
      </c>
      <c r="E45" s="170">
        <f>E46</f>
        <v>2475</v>
      </c>
      <c r="F45" s="170">
        <f>F46</f>
        <v>2568</v>
      </c>
      <c r="G45" s="170">
        <f>G46</f>
        <v>2500</v>
      </c>
      <c r="H45" s="309">
        <v>2500</v>
      </c>
      <c r="I45" s="281">
        <f t="shared" si="0"/>
        <v>1.0272</v>
      </c>
      <c r="K45" s="43"/>
    </row>
    <row r="46" spans="2:9" ht="13.5" thickBot="1">
      <c r="B46" s="462"/>
      <c r="C46" s="180"/>
      <c r="D46" s="181" t="s">
        <v>107</v>
      </c>
      <c r="E46" s="182">
        <v>2475</v>
      </c>
      <c r="F46" s="182">
        <v>2568</v>
      </c>
      <c r="G46" s="182">
        <v>2500</v>
      </c>
      <c r="H46" s="313">
        <v>2500</v>
      </c>
      <c r="I46" s="285">
        <f t="shared" si="0"/>
        <v>1.0272</v>
      </c>
    </row>
    <row r="47" spans="2:9" ht="14.25" thickBot="1" thickTop="1">
      <c r="B47" s="465"/>
      <c r="C47" s="465"/>
      <c r="D47" s="465"/>
      <c r="E47" s="465"/>
      <c r="F47" s="465"/>
      <c r="G47" s="465"/>
      <c r="H47" s="465"/>
      <c r="I47" s="465"/>
    </row>
    <row r="48" spans="2:9" ht="13.5" customHeight="1" thickTop="1">
      <c r="B48" s="429" t="s">
        <v>114</v>
      </c>
      <c r="C48" s="457" t="s">
        <v>61</v>
      </c>
      <c r="D48" s="459" t="s">
        <v>79</v>
      </c>
      <c r="E48" s="467" t="s">
        <v>356</v>
      </c>
      <c r="F48" s="467" t="s">
        <v>355</v>
      </c>
      <c r="G48" s="467" t="s">
        <v>357</v>
      </c>
      <c r="H48" s="463" t="s">
        <v>305</v>
      </c>
      <c r="I48" s="466" t="s">
        <v>358</v>
      </c>
    </row>
    <row r="49" spans="2:9" ht="30" customHeight="1" thickBot="1">
      <c r="B49" s="430"/>
      <c r="C49" s="458"/>
      <c r="D49" s="460"/>
      <c r="E49" s="468"/>
      <c r="F49" s="468"/>
      <c r="G49" s="468"/>
      <c r="H49" s="464"/>
      <c r="I49" s="433"/>
    </row>
    <row r="50" spans="2:9" s="47" customFormat="1" ht="16.5" thickBot="1" thickTop="1">
      <c r="B50" s="177">
        <v>240</v>
      </c>
      <c r="C50" s="455" t="s">
        <v>108</v>
      </c>
      <c r="D50" s="456"/>
      <c r="E50" s="95">
        <f>SUM(E51:E51)</f>
        <v>5867</v>
      </c>
      <c r="F50" s="95">
        <f>SUM(F51:F51)</f>
        <v>6403</v>
      </c>
      <c r="G50" s="95">
        <f>SUM(G51:G51)</f>
        <v>1660</v>
      </c>
      <c r="H50" s="314">
        <v>1660</v>
      </c>
      <c r="I50" s="286">
        <f aca="true" t="shared" si="1" ref="I50:I100">IF(H50=0,0,F50/H50)</f>
        <v>3.8572289156626507</v>
      </c>
    </row>
    <row r="51" spans="2:9" ht="13.5" customHeight="1" thickBot="1">
      <c r="B51" s="240"/>
      <c r="C51" s="241"/>
      <c r="D51" s="212" t="s">
        <v>109</v>
      </c>
      <c r="E51" s="45">
        <v>5867</v>
      </c>
      <c r="F51" s="45">
        <v>6403</v>
      </c>
      <c r="G51" s="45">
        <v>1660</v>
      </c>
      <c r="H51" s="315">
        <v>1660</v>
      </c>
      <c r="I51" s="287">
        <f t="shared" si="1"/>
        <v>3.8572289156626507</v>
      </c>
    </row>
    <row r="52" spans="2:11" s="65" customFormat="1" ht="15.75" thickBot="1">
      <c r="B52" s="177">
        <v>290</v>
      </c>
      <c r="C52" s="450" t="s">
        <v>110</v>
      </c>
      <c r="D52" s="451"/>
      <c r="E52" s="171">
        <f>E53</f>
        <v>123165</v>
      </c>
      <c r="F52" s="171">
        <f>F53</f>
        <v>59959</v>
      </c>
      <c r="G52" s="171">
        <f>G53</f>
        <v>28190</v>
      </c>
      <c r="H52" s="316">
        <v>28190</v>
      </c>
      <c r="I52" s="288">
        <f t="shared" si="1"/>
        <v>2.1269599148634266</v>
      </c>
      <c r="K52" s="394"/>
    </row>
    <row r="53" spans="2:9" ht="13.5" thickBot="1">
      <c r="B53" s="442"/>
      <c r="C53" s="46">
        <v>292</v>
      </c>
      <c r="D53" s="46" t="s">
        <v>110</v>
      </c>
      <c r="E53" s="3">
        <f>SUM(E54:E57)</f>
        <v>123165</v>
      </c>
      <c r="F53" s="3">
        <f>SUM(F54:F57)</f>
        <v>59959</v>
      </c>
      <c r="G53" s="3">
        <f>SUM(G54:G57)</f>
        <v>28190</v>
      </c>
      <c r="H53" s="311">
        <v>28190</v>
      </c>
      <c r="I53" s="283">
        <f t="shared" si="1"/>
        <v>2.1269599148634266</v>
      </c>
    </row>
    <row r="54" spans="2:9" ht="12.75">
      <c r="B54" s="443"/>
      <c r="C54" s="437"/>
      <c r="D54" s="80" t="s">
        <v>272</v>
      </c>
      <c r="E54" s="78">
        <v>15102</v>
      </c>
      <c r="F54" s="78">
        <v>12370</v>
      </c>
      <c r="G54" s="78">
        <v>11000</v>
      </c>
      <c r="H54" s="317">
        <v>11000</v>
      </c>
      <c r="I54" s="289">
        <f t="shared" si="1"/>
        <v>1.1245454545454545</v>
      </c>
    </row>
    <row r="55" spans="2:9" ht="12.75">
      <c r="B55" s="443"/>
      <c r="C55" s="454"/>
      <c r="D55" s="83" t="s">
        <v>110</v>
      </c>
      <c r="E55" s="62">
        <v>88044</v>
      </c>
      <c r="F55" s="62">
        <f>1896+6027+1862+1635+15768+1350+1318+36+114+300</f>
        <v>30306</v>
      </c>
      <c r="G55" s="62"/>
      <c r="H55" s="298">
        <v>0</v>
      </c>
      <c r="I55" s="270">
        <f t="shared" si="1"/>
        <v>0</v>
      </c>
    </row>
    <row r="56" spans="2:9" ht="12.75">
      <c r="B56" s="443"/>
      <c r="C56" s="454"/>
      <c r="D56" s="52" t="s">
        <v>111</v>
      </c>
      <c r="E56" s="63">
        <v>2429</v>
      </c>
      <c r="F56" s="63">
        <v>2809</v>
      </c>
      <c r="G56" s="63">
        <v>1900</v>
      </c>
      <c r="H56" s="299">
        <v>1900</v>
      </c>
      <c r="I56" s="271">
        <f t="shared" si="1"/>
        <v>1.4784210526315789</v>
      </c>
    </row>
    <row r="57" spans="2:9" ht="13.5" thickBot="1">
      <c r="B57" s="446"/>
      <c r="C57" s="454"/>
      <c r="D57" s="52" t="s">
        <v>242</v>
      </c>
      <c r="E57" s="64">
        <v>17590</v>
      </c>
      <c r="F57" s="64">
        <v>14474</v>
      </c>
      <c r="G57" s="64">
        <v>15290</v>
      </c>
      <c r="H57" s="300">
        <v>15290</v>
      </c>
      <c r="I57" s="272">
        <f t="shared" si="1"/>
        <v>0.9466317854807064</v>
      </c>
    </row>
    <row r="58" spans="2:15" s="81" customFormat="1" ht="16.5" thickBot="1">
      <c r="B58" s="183">
        <v>300</v>
      </c>
      <c r="C58" s="452" t="s">
        <v>124</v>
      </c>
      <c r="D58" s="453"/>
      <c r="E58" s="172">
        <f>E59+E97</f>
        <v>2645110</v>
      </c>
      <c r="F58" s="172">
        <f>F59+F97</f>
        <v>2979865</v>
      </c>
      <c r="G58" s="172">
        <f>G59+G97</f>
        <v>2234789</v>
      </c>
      <c r="H58" s="172">
        <f>H59+H97</f>
        <v>3038595</v>
      </c>
      <c r="I58" s="290">
        <f t="shared" si="1"/>
        <v>0.9806719882050751</v>
      </c>
      <c r="J58" s="254"/>
      <c r="K58" s="254"/>
      <c r="L58" s="254"/>
      <c r="M58" s="254"/>
      <c r="N58" s="254"/>
      <c r="O58" s="254"/>
    </row>
    <row r="59" spans="2:9" ht="15.75" thickBot="1">
      <c r="B59" s="178">
        <v>310</v>
      </c>
      <c r="C59" s="435" t="s">
        <v>125</v>
      </c>
      <c r="D59" s="436"/>
      <c r="E59" s="41">
        <f>E60+E63</f>
        <v>2645110</v>
      </c>
      <c r="F59" s="41">
        <f>F60+F63</f>
        <v>2958818</v>
      </c>
      <c r="G59" s="41">
        <f>G60+G63</f>
        <v>2200068</v>
      </c>
      <c r="H59" s="41">
        <f>H60+H63</f>
        <v>3003874</v>
      </c>
      <c r="I59" s="282">
        <f t="shared" si="1"/>
        <v>0.9850007024262669</v>
      </c>
    </row>
    <row r="60" spans="2:11" ht="13.5" thickBot="1">
      <c r="B60" s="442"/>
      <c r="C60" s="6">
        <v>311</v>
      </c>
      <c r="D60" s="2" t="s">
        <v>126</v>
      </c>
      <c r="E60" s="3">
        <v>9307</v>
      </c>
      <c r="F60" s="3">
        <f>SUM(F61:F62)</f>
        <v>19495</v>
      </c>
      <c r="G60" s="3">
        <f>SUM(G62:G62)</f>
        <v>5000</v>
      </c>
      <c r="H60" s="311">
        <v>21300</v>
      </c>
      <c r="I60" s="283">
        <f t="shared" si="1"/>
        <v>0.9152582159624413</v>
      </c>
      <c r="J60" s="43"/>
      <c r="K60" s="43"/>
    </row>
    <row r="61" spans="2:11" ht="12.75">
      <c r="B61" s="443"/>
      <c r="C61" s="437"/>
      <c r="D61" s="87"/>
      <c r="E61" s="405"/>
      <c r="F61" s="62">
        <v>415</v>
      </c>
      <c r="G61" s="405"/>
      <c r="H61" s="406"/>
      <c r="I61" s="407"/>
      <c r="J61" s="43"/>
      <c r="K61" s="43"/>
    </row>
    <row r="62" spans="2:11" ht="13.5" thickBot="1">
      <c r="B62" s="443"/>
      <c r="C62" s="438"/>
      <c r="D62" s="79" t="s">
        <v>341</v>
      </c>
      <c r="E62" s="61"/>
      <c r="F62" s="61">
        <v>19080</v>
      </c>
      <c r="G62" s="61">
        <v>5000</v>
      </c>
      <c r="H62" s="308">
        <v>21300</v>
      </c>
      <c r="I62" s="280">
        <f t="shared" si="1"/>
        <v>0.895774647887324</v>
      </c>
      <c r="K62" s="43"/>
    </row>
    <row r="63" spans="2:11" ht="13.5" thickBot="1">
      <c r="B63" s="443"/>
      <c r="C63" s="54">
        <v>312</v>
      </c>
      <c r="D63" s="54" t="s">
        <v>127</v>
      </c>
      <c r="E63" s="74">
        <f>SUM(E64:E96)</f>
        <v>2635803</v>
      </c>
      <c r="F63" s="74">
        <f>SUM(F64:F96)</f>
        <v>2939323</v>
      </c>
      <c r="G63" s="74">
        <f>SUM(G64:G96)</f>
        <v>2195068</v>
      </c>
      <c r="H63" s="74">
        <f>SUM(H64:H96)</f>
        <v>2982574</v>
      </c>
      <c r="I63" s="278">
        <f t="shared" si="1"/>
        <v>0.9854987671722478</v>
      </c>
      <c r="K63" s="43"/>
    </row>
    <row r="64" spans="2:11" ht="12.75">
      <c r="B64" s="443"/>
      <c r="C64" s="444"/>
      <c r="D64" s="75" t="s">
        <v>179</v>
      </c>
      <c r="E64" s="57">
        <v>14678</v>
      </c>
      <c r="F64" s="57">
        <v>29798</v>
      </c>
      <c r="G64" s="57">
        <v>18490</v>
      </c>
      <c r="H64" s="302">
        <v>29540</v>
      </c>
      <c r="I64" s="274">
        <f t="shared" si="1"/>
        <v>1.0087339201083276</v>
      </c>
      <c r="K64" s="43"/>
    </row>
    <row r="65" spans="2:10" ht="12.75">
      <c r="B65" s="443"/>
      <c r="C65" s="445"/>
      <c r="D65" s="76" t="s">
        <v>180</v>
      </c>
      <c r="E65" s="59">
        <v>1909996</v>
      </c>
      <c r="F65" s="59">
        <v>1976586</v>
      </c>
      <c r="G65" s="59">
        <v>1800000</v>
      </c>
      <c r="H65" s="303">
        <v>1982241</v>
      </c>
      <c r="I65" s="275">
        <f t="shared" si="1"/>
        <v>0.9971471682807489</v>
      </c>
      <c r="J65" s="256"/>
    </row>
    <row r="66" spans="2:10" ht="12.75">
      <c r="B66" s="443"/>
      <c r="C66" s="445"/>
      <c r="D66" s="76" t="s">
        <v>181</v>
      </c>
      <c r="E66" s="59">
        <v>16732</v>
      </c>
      <c r="F66" s="59">
        <v>17411</v>
      </c>
      <c r="G66" s="59">
        <v>15470</v>
      </c>
      <c r="H66" s="303">
        <v>15470</v>
      </c>
      <c r="I66" s="275">
        <f t="shared" si="1"/>
        <v>1.1254686489980608</v>
      </c>
      <c r="J66" s="43"/>
    </row>
    <row r="67" spans="2:10" ht="12.75">
      <c r="B67" s="443"/>
      <c r="C67" s="445"/>
      <c r="D67" s="76" t="s">
        <v>182</v>
      </c>
      <c r="E67" s="59">
        <v>24253</v>
      </c>
      <c r="F67" s="59">
        <v>24589</v>
      </c>
      <c r="G67" s="59">
        <v>17590</v>
      </c>
      <c r="H67" s="303">
        <v>17590</v>
      </c>
      <c r="I67" s="275">
        <f t="shared" si="1"/>
        <v>1.397896532120523</v>
      </c>
      <c r="J67" s="43"/>
    </row>
    <row r="68" spans="2:9" ht="12.75">
      <c r="B68" s="443"/>
      <c r="C68" s="445"/>
      <c r="D68" s="76" t="s">
        <v>183</v>
      </c>
      <c r="E68" s="59">
        <v>6517</v>
      </c>
      <c r="F68" s="59">
        <v>6779</v>
      </c>
      <c r="G68" s="59">
        <v>6670</v>
      </c>
      <c r="H68" s="303">
        <v>6779</v>
      </c>
      <c r="I68" s="275">
        <f t="shared" si="1"/>
        <v>1</v>
      </c>
    </row>
    <row r="69" spans="2:10" ht="12.75">
      <c r="B69" s="443"/>
      <c r="C69" s="445"/>
      <c r="D69" s="76" t="s">
        <v>184</v>
      </c>
      <c r="E69" s="59">
        <v>9868</v>
      </c>
      <c r="F69" s="59">
        <v>8992</v>
      </c>
      <c r="G69" s="59">
        <v>6310</v>
      </c>
      <c r="H69" s="303">
        <v>6310</v>
      </c>
      <c r="I69" s="275">
        <f t="shared" si="1"/>
        <v>1.425039619651347</v>
      </c>
      <c r="J69" s="43"/>
    </row>
    <row r="70" spans="2:9" ht="12.75">
      <c r="B70" s="443"/>
      <c r="C70" s="445"/>
      <c r="D70" s="76" t="s">
        <v>185</v>
      </c>
      <c r="E70" s="59">
        <v>42793</v>
      </c>
      <c r="F70" s="59">
        <v>49435</v>
      </c>
      <c r="G70" s="59">
        <v>53100</v>
      </c>
      <c r="H70" s="303">
        <v>53100</v>
      </c>
      <c r="I70" s="275">
        <f t="shared" si="1"/>
        <v>0.9309792843691149</v>
      </c>
    </row>
    <row r="71" spans="2:9" s="189" customFormat="1" ht="12.75">
      <c r="B71" s="443"/>
      <c r="C71" s="445"/>
      <c r="D71" s="76" t="s">
        <v>186</v>
      </c>
      <c r="E71" s="59">
        <v>34382</v>
      </c>
      <c r="F71" s="59">
        <v>23762</v>
      </c>
      <c r="G71" s="59">
        <v>31200</v>
      </c>
      <c r="H71" s="303">
        <v>31200</v>
      </c>
      <c r="I71" s="275">
        <f t="shared" si="1"/>
        <v>0.7616025641025641</v>
      </c>
    </row>
    <row r="72" spans="2:9" ht="12.75">
      <c r="B72" s="443"/>
      <c r="C72" s="445"/>
      <c r="D72" s="76" t="s">
        <v>213</v>
      </c>
      <c r="E72" s="59">
        <v>3965</v>
      </c>
      <c r="F72" s="59">
        <v>4049</v>
      </c>
      <c r="G72" s="59"/>
      <c r="H72" s="303">
        <v>4048</v>
      </c>
      <c r="I72" s="275">
        <f t="shared" si="1"/>
        <v>1.0002470355731226</v>
      </c>
    </row>
    <row r="73" spans="2:9" ht="12.75">
      <c r="B73" s="443"/>
      <c r="C73" s="445"/>
      <c r="D73" s="76" t="s">
        <v>192</v>
      </c>
      <c r="E73" s="59">
        <v>19695</v>
      </c>
      <c r="F73" s="59">
        <v>40677</v>
      </c>
      <c r="G73" s="59">
        <v>54800</v>
      </c>
      <c r="H73" s="303">
        <v>54800</v>
      </c>
      <c r="I73" s="275">
        <f t="shared" si="1"/>
        <v>0.7422810218978102</v>
      </c>
    </row>
    <row r="74" spans="2:9" ht="12.75">
      <c r="B74" s="443"/>
      <c r="C74" s="445"/>
      <c r="D74" s="76" t="s">
        <v>363</v>
      </c>
      <c r="E74" s="59">
        <v>948</v>
      </c>
      <c r="F74" s="59">
        <f>9555+3619</f>
        <v>13174</v>
      </c>
      <c r="G74" s="59"/>
      <c r="H74" s="303"/>
      <c r="I74" s="275">
        <f t="shared" si="1"/>
        <v>0</v>
      </c>
    </row>
    <row r="75" spans="2:10" ht="12.75">
      <c r="B75" s="443"/>
      <c r="C75" s="445"/>
      <c r="D75" s="76" t="s">
        <v>222</v>
      </c>
      <c r="E75" s="59">
        <v>15867</v>
      </c>
      <c r="F75" s="59">
        <v>985</v>
      </c>
      <c r="G75" s="59">
        <v>830</v>
      </c>
      <c r="H75" s="303">
        <v>948</v>
      </c>
      <c r="I75" s="275">
        <f t="shared" si="1"/>
        <v>1.0390295358649788</v>
      </c>
      <c r="J75" s="43"/>
    </row>
    <row r="76" spans="2:10" ht="12.75">
      <c r="B76" s="443"/>
      <c r="C76" s="445"/>
      <c r="D76" s="76" t="s">
        <v>367</v>
      </c>
      <c r="E76" s="59">
        <v>37025</v>
      </c>
      <c r="F76" s="59">
        <f>9548+3457+7204</f>
        <v>20209</v>
      </c>
      <c r="G76" s="59"/>
      <c r="H76" s="303"/>
      <c r="I76" s="275">
        <f t="shared" si="1"/>
        <v>0</v>
      </c>
      <c r="J76" s="43"/>
    </row>
    <row r="77" spans="2:9" ht="12.75">
      <c r="B77" s="443"/>
      <c r="C77" s="445"/>
      <c r="D77" s="76" t="s">
        <v>214</v>
      </c>
      <c r="E77" s="59">
        <v>1872</v>
      </c>
      <c r="F77" s="59">
        <v>1482</v>
      </c>
      <c r="G77" s="59">
        <v>1990</v>
      </c>
      <c r="H77" s="303">
        <v>1483</v>
      </c>
      <c r="I77" s="275">
        <f t="shared" si="1"/>
        <v>0.9993256911665542</v>
      </c>
    </row>
    <row r="78" spans="2:10" ht="12.75">
      <c r="B78" s="443"/>
      <c r="C78" s="445"/>
      <c r="D78" s="76" t="s">
        <v>209</v>
      </c>
      <c r="E78" s="59">
        <v>4856</v>
      </c>
      <c r="F78" s="59">
        <v>4879</v>
      </c>
      <c r="G78" s="59">
        <v>4980</v>
      </c>
      <c r="H78" s="303">
        <v>4879</v>
      </c>
      <c r="I78" s="275">
        <f t="shared" si="1"/>
        <v>1</v>
      </c>
      <c r="J78" s="43"/>
    </row>
    <row r="79" spans="2:10" ht="12.75">
      <c r="B79" s="443"/>
      <c r="C79" s="445"/>
      <c r="D79" s="76" t="s">
        <v>263</v>
      </c>
      <c r="E79" s="59">
        <v>14741</v>
      </c>
      <c r="F79" s="59"/>
      <c r="G79" s="59"/>
      <c r="H79" s="303">
        <v>0</v>
      </c>
      <c r="I79" s="275">
        <f t="shared" si="1"/>
        <v>0</v>
      </c>
      <c r="J79" s="43"/>
    </row>
    <row r="80" spans="2:9" ht="12.75">
      <c r="B80" s="443"/>
      <c r="C80" s="445"/>
      <c r="D80" s="76" t="s">
        <v>368</v>
      </c>
      <c r="E80" s="59"/>
      <c r="F80" s="59">
        <v>5000</v>
      </c>
      <c r="G80" s="59"/>
      <c r="H80" s="303">
        <v>0</v>
      </c>
      <c r="I80" s="275">
        <f t="shared" si="1"/>
        <v>0</v>
      </c>
    </row>
    <row r="81" spans="2:9" ht="12.75">
      <c r="B81" s="443"/>
      <c r="C81" s="445"/>
      <c r="D81" s="76" t="s">
        <v>330</v>
      </c>
      <c r="E81" s="59">
        <v>10000</v>
      </c>
      <c r="F81" s="59">
        <v>125000</v>
      </c>
      <c r="G81" s="59"/>
      <c r="H81" s="303">
        <v>125000</v>
      </c>
      <c r="I81" s="275">
        <f t="shared" si="1"/>
        <v>1</v>
      </c>
    </row>
    <row r="82" spans="2:9" ht="12.75">
      <c r="B82" s="443"/>
      <c r="C82" s="445"/>
      <c r="D82" s="21" t="s">
        <v>332</v>
      </c>
      <c r="E82" s="59"/>
      <c r="F82" s="59">
        <v>7885</v>
      </c>
      <c r="G82" s="59"/>
      <c r="H82" s="303">
        <v>7885</v>
      </c>
      <c r="I82" s="275">
        <f t="shared" si="1"/>
        <v>1</v>
      </c>
    </row>
    <row r="83" spans="2:9" ht="12.75">
      <c r="B83" s="443"/>
      <c r="C83" s="445"/>
      <c r="D83" s="76" t="s">
        <v>311</v>
      </c>
      <c r="E83" s="59">
        <v>376281</v>
      </c>
      <c r="F83" s="59">
        <f>124175+148633</f>
        <v>272808</v>
      </c>
      <c r="G83" s="59"/>
      <c r="H83" s="303">
        <f>124175+148633</f>
        <v>272808</v>
      </c>
      <c r="I83" s="275">
        <f t="shared" si="1"/>
        <v>1</v>
      </c>
    </row>
    <row r="84" spans="2:9" ht="12.75">
      <c r="B84" s="443"/>
      <c r="C84" s="445"/>
      <c r="D84" s="76" t="s">
        <v>282</v>
      </c>
      <c r="E84" s="59"/>
      <c r="F84" s="59"/>
      <c r="G84" s="59">
        <v>13743</v>
      </c>
      <c r="H84" s="303">
        <v>13743</v>
      </c>
      <c r="I84" s="275">
        <f t="shared" si="1"/>
        <v>0</v>
      </c>
    </row>
    <row r="85" spans="2:9" ht="12.75">
      <c r="B85" s="443"/>
      <c r="C85" s="445"/>
      <c r="D85" s="76" t="s">
        <v>284</v>
      </c>
      <c r="E85" s="59"/>
      <c r="F85" s="59"/>
      <c r="G85" s="59">
        <v>2518</v>
      </c>
      <c r="H85" s="303">
        <v>4457</v>
      </c>
      <c r="I85" s="275">
        <f t="shared" si="1"/>
        <v>0</v>
      </c>
    </row>
    <row r="86" spans="2:10" ht="12.75">
      <c r="B86" s="443"/>
      <c r="C86" s="445"/>
      <c r="D86" s="76" t="s">
        <v>288</v>
      </c>
      <c r="E86" s="59"/>
      <c r="F86" s="59"/>
      <c r="G86" s="59">
        <v>28850</v>
      </c>
      <c r="H86" s="303">
        <v>14923</v>
      </c>
      <c r="I86" s="275">
        <f t="shared" si="1"/>
        <v>0</v>
      </c>
      <c r="J86" s="43"/>
    </row>
    <row r="87" spans="2:10" ht="12.75">
      <c r="B87" s="443"/>
      <c r="C87" s="445"/>
      <c r="D87" s="76" t="s">
        <v>287</v>
      </c>
      <c r="E87" s="59"/>
      <c r="F87" s="59"/>
      <c r="G87" s="59">
        <v>22986</v>
      </c>
      <c r="H87" s="303">
        <v>11215</v>
      </c>
      <c r="I87" s="275">
        <f t="shared" si="1"/>
        <v>0</v>
      </c>
      <c r="J87" s="43"/>
    </row>
    <row r="88" spans="2:10" ht="12.75">
      <c r="B88" s="443"/>
      <c r="C88" s="445"/>
      <c r="D88" s="76" t="s">
        <v>290</v>
      </c>
      <c r="E88" s="59"/>
      <c r="F88" s="59"/>
      <c r="G88" s="59">
        <v>106041</v>
      </c>
      <c r="H88" s="303">
        <v>11439</v>
      </c>
      <c r="I88" s="275">
        <f t="shared" si="1"/>
        <v>0</v>
      </c>
      <c r="J88" s="43"/>
    </row>
    <row r="89" spans="2:10" ht="12.75">
      <c r="B89" s="443"/>
      <c r="C89" s="445"/>
      <c r="D89" s="76" t="s">
        <v>281</v>
      </c>
      <c r="E89" s="59">
        <v>7192</v>
      </c>
      <c r="F89" s="59"/>
      <c r="G89" s="59">
        <v>9500</v>
      </c>
      <c r="H89" s="303">
        <v>13346</v>
      </c>
      <c r="I89" s="275">
        <f t="shared" si="1"/>
        <v>0</v>
      </c>
      <c r="J89" s="43"/>
    </row>
    <row r="90" spans="2:10" ht="12.75">
      <c r="B90" s="443"/>
      <c r="C90" s="445"/>
      <c r="D90" s="76" t="s">
        <v>331</v>
      </c>
      <c r="E90" s="59"/>
      <c r="F90" s="59">
        <v>14193</v>
      </c>
      <c r="G90" s="59"/>
      <c r="H90" s="303">
        <v>14193</v>
      </c>
      <c r="I90" s="275">
        <f t="shared" si="1"/>
        <v>1</v>
      </c>
      <c r="J90" s="43"/>
    </row>
    <row r="91" spans="2:10" ht="12.75">
      <c r="B91" s="443"/>
      <c r="C91" s="445"/>
      <c r="D91" s="76" t="s">
        <v>335</v>
      </c>
      <c r="E91" s="59"/>
      <c r="F91" s="59">
        <v>310</v>
      </c>
      <c r="G91" s="59"/>
      <c r="H91" s="303">
        <v>180</v>
      </c>
      <c r="I91" s="275">
        <f t="shared" si="1"/>
        <v>1.7222222222222223</v>
      </c>
      <c r="J91" s="43"/>
    </row>
    <row r="92" spans="2:10" ht="12.75">
      <c r="B92" s="443"/>
      <c r="C92" s="445"/>
      <c r="D92" s="76" t="s">
        <v>336</v>
      </c>
      <c r="E92" s="59"/>
      <c r="F92" s="59">
        <v>10000</v>
      </c>
      <c r="G92" s="59"/>
      <c r="H92" s="303">
        <v>10000</v>
      </c>
      <c r="I92" s="275">
        <f t="shared" si="1"/>
        <v>1</v>
      </c>
      <c r="J92" s="43"/>
    </row>
    <row r="93" spans="2:10" ht="12.75">
      <c r="B93" s="443"/>
      <c r="C93" s="445"/>
      <c r="D93" s="76" t="s">
        <v>347</v>
      </c>
      <c r="E93" s="59"/>
      <c r="F93" s="59">
        <v>172652</v>
      </c>
      <c r="G93" s="59"/>
      <c r="H93" s="303">
        <v>176000</v>
      </c>
      <c r="I93" s="275">
        <f t="shared" si="1"/>
        <v>0.9809772727272728</v>
      </c>
      <c r="J93" s="43"/>
    </row>
    <row r="94" spans="2:10" ht="12.75">
      <c r="B94" s="443"/>
      <c r="C94" s="445"/>
      <c r="D94" s="76" t="s">
        <v>369</v>
      </c>
      <c r="E94" s="59"/>
      <c r="F94" s="59">
        <v>9300</v>
      </c>
      <c r="G94" s="59"/>
      <c r="H94" s="303"/>
      <c r="I94" s="275">
        <f t="shared" si="1"/>
        <v>0</v>
      </c>
      <c r="J94" s="43"/>
    </row>
    <row r="95" spans="2:10" ht="12.75">
      <c r="B95" s="443"/>
      <c r="C95" s="445"/>
      <c r="D95" s="76" t="s">
        <v>364</v>
      </c>
      <c r="E95" s="59">
        <v>55902</v>
      </c>
      <c r="F95" s="59">
        <f>14692+58423+5104+289+5555+35</f>
        <v>84098</v>
      </c>
      <c r="G95" s="59"/>
      <c r="H95" s="303">
        <f>93892+5105</f>
        <v>98997</v>
      </c>
      <c r="I95" s="275">
        <f>IF(H95=0,0,F95/H95)</f>
        <v>0.8495004899138358</v>
      </c>
      <c r="J95" s="43"/>
    </row>
    <row r="96" spans="2:10" ht="13.5" thickBot="1">
      <c r="B96" s="443"/>
      <c r="C96" s="445"/>
      <c r="D96" s="76" t="s">
        <v>264</v>
      </c>
      <c r="E96" s="59">
        <v>28240</v>
      </c>
      <c r="F96" s="59">
        <v>15270</v>
      </c>
      <c r="G96" s="59"/>
      <c r="H96" s="303">
        <v>0</v>
      </c>
      <c r="I96" s="275">
        <f t="shared" si="1"/>
        <v>0</v>
      </c>
      <c r="J96" s="43"/>
    </row>
    <row r="97" spans="2:9" s="65" customFormat="1" ht="15.75" thickBot="1">
      <c r="B97" s="178">
        <v>330</v>
      </c>
      <c r="C97" s="257" t="s">
        <v>112</v>
      </c>
      <c r="D97" s="255"/>
      <c r="E97" s="41">
        <f aca="true" t="shared" si="2" ref="E97:G98">E98</f>
        <v>0</v>
      </c>
      <c r="F97" s="41">
        <f t="shared" si="2"/>
        <v>21047</v>
      </c>
      <c r="G97" s="41">
        <f t="shared" si="2"/>
        <v>34721</v>
      </c>
      <c r="H97" s="310">
        <v>34721</v>
      </c>
      <c r="I97" s="282">
        <f t="shared" si="1"/>
        <v>0.606174937357795</v>
      </c>
    </row>
    <row r="98" spans="2:9" s="5" customFormat="1" ht="13.5" thickBot="1">
      <c r="B98" s="442"/>
      <c r="C98" s="2">
        <v>331</v>
      </c>
      <c r="D98" s="46" t="s">
        <v>128</v>
      </c>
      <c r="E98" s="3">
        <f t="shared" si="2"/>
        <v>0</v>
      </c>
      <c r="F98" s="3">
        <f t="shared" si="2"/>
        <v>21047</v>
      </c>
      <c r="G98" s="3">
        <f t="shared" si="2"/>
        <v>34721</v>
      </c>
      <c r="H98" s="311">
        <v>34721</v>
      </c>
      <c r="I98" s="283">
        <f t="shared" si="1"/>
        <v>0.606174937357795</v>
      </c>
    </row>
    <row r="99" spans="2:9" ht="13.5" thickBot="1">
      <c r="B99" s="443"/>
      <c r="C99" s="108"/>
      <c r="D99" s="113" t="s">
        <v>270</v>
      </c>
      <c r="E99" s="114"/>
      <c r="F99" s="114">
        <v>21047</v>
      </c>
      <c r="G99" s="114">
        <v>34721</v>
      </c>
      <c r="H99" s="318">
        <v>34721</v>
      </c>
      <c r="I99" s="291">
        <f t="shared" si="1"/>
        <v>0.606174937357795</v>
      </c>
    </row>
    <row r="100" spans="2:9" s="66" customFormat="1" ht="17.25" thickBot="1" thickTop="1">
      <c r="B100" s="439" t="s">
        <v>113</v>
      </c>
      <c r="C100" s="440"/>
      <c r="D100" s="441"/>
      <c r="E100" s="106">
        <f>E5+E22+E58</f>
        <v>9080838</v>
      </c>
      <c r="F100" s="106">
        <f>F5+F22+F58</f>
        <v>8537685</v>
      </c>
      <c r="G100" s="106">
        <f>G5+G22+G58</f>
        <v>8073872</v>
      </c>
      <c r="H100" s="106">
        <f>H5+H22+H58</f>
        <v>8527743</v>
      </c>
      <c r="I100" s="292">
        <f t="shared" si="1"/>
        <v>1.0011658418880587</v>
      </c>
    </row>
    <row r="101" ht="13.5" thickTop="1"/>
    <row r="104" ht="12.75">
      <c r="E104" s="413"/>
    </row>
    <row r="129" spans="2:8" ht="12.75">
      <c r="B129" s="117"/>
      <c r="C129" s="414"/>
      <c r="D129" s="414"/>
      <c r="E129" s="411"/>
      <c r="F129" s="411"/>
      <c r="G129" s="411"/>
      <c r="H129" s="412"/>
    </row>
  </sheetData>
  <sheetProtection/>
  <mergeCells count="47">
    <mergeCell ref="B3:B4"/>
    <mergeCell ref="C3:C4"/>
    <mergeCell ref="F48:F49"/>
    <mergeCell ref="G48:G49"/>
    <mergeCell ref="E48:E49"/>
    <mergeCell ref="C22:D22"/>
    <mergeCell ref="C5:D5"/>
    <mergeCell ref="B14:B21"/>
    <mergeCell ref="B9:B12"/>
    <mergeCell ref="C10:C12"/>
    <mergeCell ref="H3:H4"/>
    <mergeCell ref="B1:I1"/>
    <mergeCell ref="B2:I2"/>
    <mergeCell ref="C8:D8"/>
    <mergeCell ref="F3:F4"/>
    <mergeCell ref="G3:G4"/>
    <mergeCell ref="I3:I4"/>
    <mergeCell ref="E3:E4"/>
    <mergeCell ref="D3:D4"/>
    <mergeCell ref="C6:D6"/>
    <mergeCell ref="H48:H49"/>
    <mergeCell ref="C25:C27"/>
    <mergeCell ref="C29:C32"/>
    <mergeCell ref="C35:C36"/>
    <mergeCell ref="C33:D33"/>
    <mergeCell ref="B47:I47"/>
    <mergeCell ref="I48:I49"/>
    <mergeCell ref="B48:B49"/>
    <mergeCell ref="B24:B32"/>
    <mergeCell ref="C13:D13"/>
    <mergeCell ref="C15:C21"/>
    <mergeCell ref="C23:D23"/>
    <mergeCell ref="B34:B46"/>
    <mergeCell ref="B53:B57"/>
    <mergeCell ref="C38:C44"/>
    <mergeCell ref="C52:D52"/>
    <mergeCell ref="C58:D58"/>
    <mergeCell ref="C54:C57"/>
    <mergeCell ref="C50:D50"/>
    <mergeCell ref="C48:C49"/>
    <mergeCell ref="D48:D49"/>
    <mergeCell ref="C59:D59"/>
    <mergeCell ref="C61:C62"/>
    <mergeCell ref="B100:D100"/>
    <mergeCell ref="B98:B99"/>
    <mergeCell ref="C64:C96"/>
    <mergeCell ref="B60:B96"/>
  </mergeCells>
  <printOptions/>
  <pageMargins left="0.38" right="0.24" top="1.07" bottom="0.4" header="0.41" footer="0.4"/>
  <pageSetup horizontalDpi="300" verticalDpi="300" orientation="portrait" paperSize="9" scale="8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76"/>
  <sheetViews>
    <sheetView showGridLines="0" view="pageLayout" showRuler="0" workbookViewId="0" topLeftCell="A100">
      <selection activeCell="A108" sqref="A108:IV108"/>
    </sheetView>
  </sheetViews>
  <sheetFormatPr defaultColWidth="9.140625" defaultRowHeight="12.75"/>
  <cols>
    <col min="1" max="1" width="3.140625" style="415" customWidth="1"/>
    <col min="2" max="2" width="10.140625" style="415" customWidth="1"/>
    <col min="3" max="3" width="10.8515625" style="421" customWidth="1"/>
    <col min="4" max="4" width="29.421875" style="415" customWidth="1"/>
    <col min="5" max="5" width="12.57421875" style="415" customWidth="1"/>
    <col min="6" max="6" width="11.421875" style="415" customWidth="1"/>
    <col min="7" max="7" width="12.140625" style="415" customWidth="1"/>
    <col min="8" max="8" width="11.57421875" style="193" customWidth="1"/>
    <col min="9" max="9" width="11.7109375" style="415" customWidth="1"/>
    <col min="10" max="10" width="9.140625" style="415" customWidth="1"/>
    <col min="11" max="11" width="14.8515625" style="8" bestFit="1" customWidth="1"/>
    <col min="12" max="12" width="10.140625" style="8" customWidth="1"/>
    <col min="13" max="13" width="11.00390625" style="8" customWidth="1"/>
    <col min="14" max="14" width="9.140625" style="8" customWidth="1"/>
    <col min="15" max="15" width="14.00390625" style="8" customWidth="1"/>
    <col min="16" max="16" width="9.140625" style="8" customWidth="1"/>
    <col min="17" max="17" width="10.140625" style="8" bestFit="1" customWidth="1"/>
    <col min="18" max="16384" width="9.140625" style="8" customWidth="1"/>
  </cols>
  <sheetData>
    <row r="1" spans="1:9" ht="13.5" thickBot="1">
      <c r="A1" s="8"/>
      <c r="B1" s="530" t="s">
        <v>0</v>
      </c>
      <c r="C1" s="530"/>
      <c r="D1" s="530"/>
      <c r="E1" s="530"/>
      <c r="F1" s="530"/>
      <c r="G1" s="530"/>
      <c r="H1" s="530"/>
      <c r="I1" s="530"/>
    </row>
    <row r="2" spans="2:11" ht="13.5" customHeight="1" thickTop="1">
      <c r="B2" s="503" t="s">
        <v>60</v>
      </c>
      <c r="C2" s="487" t="s">
        <v>61</v>
      </c>
      <c r="D2" s="506" t="s">
        <v>62</v>
      </c>
      <c r="E2" s="467" t="s">
        <v>356</v>
      </c>
      <c r="F2" s="467" t="s">
        <v>355</v>
      </c>
      <c r="G2" s="467" t="s">
        <v>357</v>
      </c>
      <c r="H2" s="480" t="s">
        <v>305</v>
      </c>
      <c r="I2" s="528" t="s">
        <v>358</v>
      </c>
      <c r="K2" s="532"/>
    </row>
    <row r="3" spans="2:11" ht="26.25" customHeight="1" thickBot="1">
      <c r="B3" s="504"/>
      <c r="C3" s="488"/>
      <c r="D3" s="507"/>
      <c r="E3" s="468"/>
      <c r="F3" s="468"/>
      <c r="G3" s="468"/>
      <c r="H3" s="481"/>
      <c r="I3" s="529"/>
      <c r="K3" s="532"/>
    </row>
    <row r="4" spans="2:11" ht="15.75" customHeight="1" thickBot="1" thickTop="1">
      <c r="B4" s="161" t="s">
        <v>65</v>
      </c>
      <c r="C4" s="509" t="s">
        <v>1</v>
      </c>
      <c r="D4" s="510"/>
      <c r="E4" s="162">
        <f>SUM(E5:E10)</f>
        <v>1166481</v>
      </c>
      <c r="F4" s="162">
        <f>SUM(F5:F10)</f>
        <v>1147628</v>
      </c>
      <c r="G4" s="162">
        <f>SUM(G5:G10)</f>
        <v>1202189</v>
      </c>
      <c r="H4" s="162">
        <v>1192670</v>
      </c>
      <c r="I4" s="339">
        <f>IF(H4=0,0,F4/H4)</f>
        <v>0.9622343146050458</v>
      </c>
      <c r="K4" s="9"/>
    </row>
    <row r="5" spans="2:12" ht="12.75">
      <c r="B5" s="498"/>
      <c r="C5" s="119">
        <v>610</v>
      </c>
      <c r="D5" s="19" t="s">
        <v>2</v>
      </c>
      <c r="E5" s="220">
        <v>532728</v>
      </c>
      <c r="F5" s="382">
        <v>538578</v>
      </c>
      <c r="G5" s="220">
        <f>573882-17780+12000</f>
        <v>568102</v>
      </c>
      <c r="H5" s="20">
        <v>555172</v>
      </c>
      <c r="I5" s="331">
        <f aca="true" t="shared" si="0" ref="I5:I65">IF(H5=0,0,F5/H5)</f>
        <v>0.9701101640572651</v>
      </c>
      <c r="K5" s="9"/>
      <c r="L5" s="9"/>
    </row>
    <row r="6" spans="2:13" ht="12.75">
      <c r="B6" s="499"/>
      <c r="C6" s="120">
        <v>620</v>
      </c>
      <c r="D6" s="21" t="s">
        <v>3</v>
      </c>
      <c r="E6" s="221">
        <v>187864</v>
      </c>
      <c r="F6" s="235">
        <v>188430</v>
      </c>
      <c r="G6" s="221">
        <f>210000-6200-3200+4000</f>
        <v>204600</v>
      </c>
      <c r="H6" s="22">
        <v>204600</v>
      </c>
      <c r="I6" s="326">
        <f t="shared" si="0"/>
        <v>0.9209677419354839</v>
      </c>
      <c r="J6" s="416"/>
      <c r="K6" s="9"/>
      <c r="L6" s="9"/>
      <c r="M6" s="9"/>
    </row>
    <row r="7" spans="2:12" ht="12.75">
      <c r="B7" s="499"/>
      <c r="C7" s="120">
        <v>630</v>
      </c>
      <c r="D7" s="21" t="s">
        <v>63</v>
      </c>
      <c r="E7" s="221">
        <v>395781</v>
      </c>
      <c r="F7" s="235">
        <f>446816-10957-7002-397-4968-7632-878+29-1805</f>
        <v>413206</v>
      </c>
      <c r="G7" s="221">
        <f>461372-70000-10</f>
        <v>391362</v>
      </c>
      <c r="H7" s="22">
        <v>404773</v>
      </c>
      <c r="I7" s="326">
        <f t="shared" si="0"/>
        <v>1.0208338994942845</v>
      </c>
      <c r="J7" s="416"/>
      <c r="K7" s="9"/>
      <c r="L7" s="9"/>
    </row>
    <row r="8" spans="2:12" ht="12.75">
      <c r="B8" s="499"/>
      <c r="C8" s="120">
        <v>640</v>
      </c>
      <c r="D8" s="21" t="s">
        <v>64</v>
      </c>
      <c r="E8" s="221">
        <v>49367</v>
      </c>
      <c r="F8" s="235">
        <v>7414</v>
      </c>
      <c r="G8" s="221">
        <f>15290+12235</f>
        <v>27525</v>
      </c>
      <c r="H8" s="22">
        <v>27525</v>
      </c>
      <c r="I8" s="326">
        <f t="shared" si="0"/>
        <v>0.26935513169845593</v>
      </c>
      <c r="J8" s="416"/>
      <c r="K8" s="9"/>
      <c r="L8" s="9"/>
    </row>
    <row r="9" spans="2:9" ht="12.75">
      <c r="B9" s="499"/>
      <c r="C9" s="120">
        <v>650</v>
      </c>
      <c r="D9" s="21" t="s">
        <v>216</v>
      </c>
      <c r="E9" s="221">
        <v>741</v>
      </c>
      <c r="F9" s="235"/>
      <c r="G9" s="221">
        <v>600</v>
      </c>
      <c r="H9" s="22">
        <v>600</v>
      </c>
      <c r="I9" s="326">
        <f t="shared" si="0"/>
        <v>0</v>
      </c>
    </row>
    <row r="10" spans="2:9" ht="13.5" thickBot="1">
      <c r="B10" s="500"/>
      <c r="C10" s="129">
        <v>600</v>
      </c>
      <c r="D10" s="186" t="s">
        <v>212</v>
      </c>
      <c r="E10" s="222"/>
      <c r="F10" s="383"/>
      <c r="G10" s="222">
        <v>10000</v>
      </c>
      <c r="H10" s="185">
        <v>0</v>
      </c>
      <c r="I10" s="332">
        <f t="shared" si="0"/>
        <v>0</v>
      </c>
    </row>
    <row r="11" spans="2:9" ht="15.75" thickBot="1">
      <c r="B11" s="96" t="s">
        <v>4</v>
      </c>
      <c r="C11" s="435" t="s">
        <v>5</v>
      </c>
      <c r="D11" s="436"/>
      <c r="E11" s="223">
        <f>SUM(E12:E13)</f>
        <v>13828</v>
      </c>
      <c r="F11" s="223">
        <f>SUM(F12:F13)</f>
        <v>14882</v>
      </c>
      <c r="G11" s="223">
        <f>SUM(G12:G13)</f>
        <v>16260</v>
      </c>
      <c r="H11" s="41">
        <v>16260</v>
      </c>
      <c r="I11" s="324">
        <f t="shared" si="0"/>
        <v>0.9152521525215253</v>
      </c>
    </row>
    <row r="12" spans="2:9" ht="12.75">
      <c r="B12" s="495"/>
      <c r="C12" s="122">
        <v>630</v>
      </c>
      <c r="D12" s="25" t="s">
        <v>66</v>
      </c>
      <c r="E12" s="26">
        <v>1162</v>
      </c>
      <c r="F12" s="26">
        <v>2345</v>
      </c>
      <c r="G12" s="26">
        <v>1660</v>
      </c>
      <c r="H12" s="26">
        <v>1660</v>
      </c>
      <c r="I12" s="340">
        <f t="shared" si="0"/>
        <v>1.4126506024096386</v>
      </c>
    </row>
    <row r="13" spans="2:9" ht="13.5" thickBot="1">
      <c r="B13" s="497"/>
      <c r="C13" s="123">
        <v>630</v>
      </c>
      <c r="D13" s="13" t="s">
        <v>67</v>
      </c>
      <c r="E13" s="173">
        <v>12666</v>
      </c>
      <c r="F13" s="173">
        <v>12537</v>
      </c>
      <c r="G13" s="173">
        <v>14600</v>
      </c>
      <c r="H13" s="173">
        <v>14600</v>
      </c>
      <c r="I13" s="341">
        <f t="shared" si="0"/>
        <v>0.8586986301369863</v>
      </c>
    </row>
    <row r="14" spans="2:9" s="35" customFormat="1" ht="15.75" thickBot="1">
      <c r="B14" s="96" t="s">
        <v>68</v>
      </c>
      <c r="C14" s="435" t="s">
        <v>210</v>
      </c>
      <c r="D14" s="436"/>
      <c r="E14" s="41">
        <f>SUM(E15:E17)</f>
        <v>26903</v>
      </c>
      <c r="F14" s="41">
        <f>SUM(F15:F17)</f>
        <v>29798</v>
      </c>
      <c r="G14" s="41">
        <f>SUM(G15:G17)</f>
        <v>31179</v>
      </c>
      <c r="H14" s="41">
        <v>31179</v>
      </c>
      <c r="I14" s="324">
        <f t="shared" si="0"/>
        <v>0.9557073671381379</v>
      </c>
    </row>
    <row r="15" spans="2:11" ht="12.75">
      <c r="B15" s="495"/>
      <c r="C15" s="119">
        <v>610</v>
      </c>
      <c r="D15" s="19" t="s">
        <v>2</v>
      </c>
      <c r="E15" s="20">
        <v>16231</v>
      </c>
      <c r="F15" s="20">
        <v>16787</v>
      </c>
      <c r="G15" s="20">
        <v>18584</v>
      </c>
      <c r="H15" s="20">
        <v>18584</v>
      </c>
      <c r="I15" s="331">
        <f t="shared" si="0"/>
        <v>0.9033039173482565</v>
      </c>
      <c r="K15" s="9"/>
    </row>
    <row r="16" spans="2:14" ht="12.75">
      <c r="B16" s="496"/>
      <c r="C16" s="120">
        <v>620</v>
      </c>
      <c r="D16" s="21" t="s">
        <v>3</v>
      </c>
      <c r="E16" s="22">
        <v>5677</v>
      </c>
      <c r="F16" s="22">
        <v>6011</v>
      </c>
      <c r="G16" s="22">
        <f>5252+1243</f>
        <v>6495</v>
      </c>
      <c r="H16" s="22">
        <v>6495</v>
      </c>
      <c r="I16" s="326">
        <f t="shared" si="0"/>
        <v>0.9254811393379523</v>
      </c>
      <c r="J16" s="416"/>
      <c r="K16" s="9"/>
      <c r="L16" s="9"/>
      <c r="N16" s="9"/>
    </row>
    <row r="17" spans="2:12" ht="13.5" thickBot="1">
      <c r="B17" s="497"/>
      <c r="C17" s="120">
        <v>630</v>
      </c>
      <c r="D17" s="21" t="s">
        <v>63</v>
      </c>
      <c r="E17" s="22">
        <f>4894+101</f>
        <v>4995</v>
      </c>
      <c r="F17" s="22">
        <f>6893+107</f>
        <v>7000</v>
      </c>
      <c r="G17" s="22">
        <f>6370-270</f>
        <v>6100</v>
      </c>
      <c r="H17" s="22">
        <v>6100</v>
      </c>
      <c r="I17" s="326">
        <f t="shared" si="0"/>
        <v>1.1475409836065573</v>
      </c>
      <c r="K17" s="9"/>
      <c r="L17" s="9"/>
    </row>
    <row r="18" spans="2:9" ht="15.75" thickBot="1">
      <c r="B18" s="96" t="s">
        <v>207</v>
      </c>
      <c r="C18" s="435" t="s">
        <v>359</v>
      </c>
      <c r="D18" s="436"/>
      <c r="E18" s="41">
        <f>E21+E19+E20</f>
        <v>54518</v>
      </c>
      <c r="F18" s="41">
        <f>F21+F19+F20+F22</f>
        <v>31457</v>
      </c>
      <c r="G18" s="41">
        <f>G21+G19+G20+G22</f>
        <v>12259</v>
      </c>
      <c r="H18" s="41">
        <v>12259</v>
      </c>
      <c r="I18" s="324">
        <f t="shared" si="0"/>
        <v>2.5660331185251652</v>
      </c>
    </row>
    <row r="19" spans="2:11" ht="14.25" customHeight="1">
      <c r="B19" s="493"/>
      <c r="C19" s="119">
        <v>610</v>
      </c>
      <c r="D19" s="30" t="s">
        <v>2</v>
      </c>
      <c r="E19" s="20">
        <v>7787</v>
      </c>
      <c r="F19" s="20">
        <v>7509</v>
      </c>
      <c r="G19" s="20">
        <v>7676</v>
      </c>
      <c r="H19" s="20">
        <v>7676</v>
      </c>
      <c r="I19" s="331">
        <f t="shared" si="0"/>
        <v>0.9782438770192808</v>
      </c>
      <c r="K19" s="9"/>
    </row>
    <row r="20" spans="2:12" ht="14.25" customHeight="1">
      <c r="B20" s="508"/>
      <c r="C20" s="120">
        <v>620</v>
      </c>
      <c r="D20" s="31" t="s">
        <v>3</v>
      </c>
      <c r="E20" s="22">
        <v>3864</v>
      </c>
      <c r="F20" s="22">
        <v>2426</v>
      </c>
      <c r="G20" s="22">
        <f>2222+461</f>
        <v>2683</v>
      </c>
      <c r="H20" s="22">
        <v>2683</v>
      </c>
      <c r="I20" s="326">
        <f t="shared" si="0"/>
        <v>0.9042117033171823</v>
      </c>
      <c r="J20" s="416"/>
      <c r="K20" s="9"/>
      <c r="L20" s="9"/>
    </row>
    <row r="21" spans="2:9" ht="14.25" customHeight="1">
      <c r="B21" s="508"/>
      <c r="C21" s="120">
        <v>630</v>
      </c>
      <c r="D21" s="31" t="s">
        <v>63</v>
      </c>
      <c r="E21" s="22">
        <v>42867</v>
      </c>
      <c r="F21" s="22">
        <v>1012</v>
      </c>
      <c r="G21" s="22">
        <f>2027-127</f>
        <v>1900</v>
      </c>
      <c r="H21" s="22">
        <v>1900</v>
      </c>
      <c r="I21" s="326">
        <f t="shared" si="0"/>
        <v>0.5326315789473685</v>
      </c>
    </row>
    <row r="22" spans="2:9" ht="14.25" customHeight="1" thickBot="1">
      <c r="B22" s="494"/>
      <c r="C22" s="129">
        <v>600</v>
      </c>
      <c r="D22" s="384" t="s">
        <v>360</v>
      </c>
      <c r="E22" s="385"/>
      <c r="F22" s="385">
        <v>20510</v>
      </c>
      <c r="G22" s="385"/>
      <c r="H22" s="385"/>
      <c r="I22" s="386">
        <f t="shared" si="0"/>
        <v>0</v>
      </c>
    </row>
    <row r="23" spans="2:9" s="35" customFormat="1" ht="15.75" thickBot="1">
      <c r="B23" s="96" t="s">
        <v>6</v>
      </c>
      <c r="C23" s="435" t="s">
        <v>7</v>
      </c>
      <c r="D23" s="436"/>
      <c r="E23" s="41">
        <f>E24</f>
        <v>75201</v>
      </c>
      <c r="F23" s="41">
        <f>F24</f>
        <v>66074</v>
      </c>
      <c r="G23" s="41">
        <f>G24</f>
        <v>86300</v>
      </c>
      <c r="H23" s="41">
        <v>86300</v>
      </c>
      <c r="I23" s="324">
        <f t="shared" si="0"/>
        <v>0.7656315179606026</v>
      </c>
    </row>
    <row r="24" spans="2:9" ht="13.5" thickBot="1">
      <c r="B24" s="97"/>
      <c r="C24" s="124">
        <v>630</v>
      </c>
      <c r="D24" s="11" t="s">
        <v>8</v>
      </c>
      <c r="E24" s="15">
        <v>75201</v>
      </c>
      <c r="F24" s="15">
        <f>209378-79665-63021-618</f>
        <v>66074</v>
      </c>
      <c r="G24" s="15">
        <v>86300</v>
      </c>
      <c r="H24" s="15">
        <v>86300</v>
      </c>
      <c r="I24" s="342">
        <f t="shared" si="0"/>
        <v>0.7656315179606026</v>
      </c>
    </row>
    <row r="25" spans="2:9" s="35" customFormat="1" ht="15.75" thickBot="1">
      <c r="B25" s="96" t="s">
        <v>9</v>
      </c>
      <c r="C25" s="435" t="s">
        <v>10</v>
      </c>
      <c r="D25" s="436"/>
      <c r="E25" s="41">
        <f>E26</f>
        <v>770</v>
      </c>
      <c r="F25" s="41">
        <f>F26</f>
        <v>2589</v>
      </c>
      <c r="G25" s="41">
        <f>G26</f>
        <v>1400</v>
      </c>
      <c r="H25" s="41">
        <v>1400</v>
      </c>
      <c r="I25" s="324">
        <f t="shared" si="0"/>
        <v>1.8492857142857142</v>
      </c>
    </row>
    <row r="26" spans="2:9" ht="13.5" thickBot="1">
      <c r="B26" s="98"/>
      <c r="C26" s="125"/>
      <c r="D26" s="11" t="s">
        <v>11</v>
      </c>
      <c r="E26" s="15">
        <v>770</v>
      </c>
      <c r="F26" s="15">
        <v>2589</v>
      </c>
      <c r="G26" s="15">
        <v>1400</v>
      </c>
      <c r="H26" s="15">
        <v>1400</v>
      </c>
      <c r="I26" s="342">
        <f t="shared" si="0"/>
        <v>1.8492857142857142</v>
      </c>
    </row>
    <row r="27" spans="2:9" s="35" customFormat="1" ht="15.75" thickBot="1">
      <c r="B27" s="96" t="s">
        <v>12</v>
      </c>
      <c r="C27" s="435" t="s">
        <v>70</v>
      </c>
      <c r="D27" s="436"/>
      <c r="E27" s="41">
        <f>SUM(E28:E31)</f>
        <v>126342</v>
      </c>
      <c r="F27" s="41">
        <f>SUM(F28:F31)</f>
        <v>137485</v>
      </c>
      <c r="G27" s="41">
        <f>SUM(G28:G31)</f>
        <v>125946</v>
      </c>
      <c r="H27" s="41">
        <v>125946</v>
      </c>
      <c r="I27" s="324">
        <f t="shared" si="0"/>
        <v>1.0916186302065964</v>
      </c>
    </row>
    <row r="28" spans="2:9" ht="12.75">
      <c r="B28" s="498"/>
      <c r="C28" s="119">
        <v>610</v>
      </c>
      <c r="D28" s="19" t="s">
        <v>2</v>
      </c>
      <c r="E28" s="20">
        <v>75340</v>
      </c>
      <c r="F28" s="20">
        <v>84414</v>
      </c>
      <c r="G28" s="20">
        <v>80800</v>
      </c>
      <c r="H28" s="20">
        <v>80800</v>
      </c>
      <c r="I28" s="331">
        <f t="shared" si="0"/>
        <v>1.0447277227722773</v>
      </c>
    </row>
    <row r="29" spans="2:14" ht="12.75">
      <c r="B29" s="499"/>
      <c r="C29" s="120">
        <v>620</v>
      </c>
      <c r="D29" s="21" t="s">
        <v>3</v>
      </c>
      <c r="E29" s="22">
        <v>27650</v>
      </c>
      <c r="F29" s="22">
        <v>30919</v>
      </c>
      <c r="G29" s="22">
        <f>29694-1454</f>
        <v>28240</v>
      </c>
      <c r="H29" s="22">
        <v>28240</v>
      </c>
      <c r="I29" s="326">
        <f t="shared" si="0"/>
        <v>1.0948654390934844</v>
      </c>
      <c r="J29" s="416"/>
      <c r="K29" s="9"/>
      <c r="L29" s="9"/>
      <c r="N29" s="9"/>
    </row>
    <row r="30" spans="2:9" ht="12.75">
      <c r="B30" s="499"/>
      <c r="C30" s="120">
        <v>630</v>
      </c>
      <c r="D30" s="21" t="s">
        <v>63</v>
      </c>
      <c r="E30" s="22">
        <f>22825+196</f>
        <v>23021</v>
      </c>
      <c r="F30" s="22">
        <f>21963+171</f>
        <v>22134</v>
      </c>
      <c r="G30" s="22">
        <v>16600</v>
      </c>
      <c r="H30" s="22">
        <v>16600</v>
      </c>
      <c r="I30" s="326">
        <f t="shared" si="0"/>
        <v>1.3333734939759037</v>
      </c>
    </row>
    <row r="31" spans="2:9" ht="13.5" thickBot="1">
      <c r="B31" s="500"/>
      <c r="C31" s="120">
        <v>650</v>
      </c>
      <c r="D31" s="21" t="s">
        <v>216</v>
      </c>
      <c r="E31" s="22">
        <v>331</v>
      </c>
      <c r="F31" s="22">
        <v>18</v>
      </c>
      <c r="G31" s="22">
        <v>306</v>
      </c>
      <c r="H31" s="22">
        <v>306</v>
      </c>
      <c r="I31" s="326">
        <f t="shared" si="0"/>
        <v>0.058823529411764705</v>
      </c>
    </row>
    <row r="32" spans="2:9" s="35" customFormat="1" ht="15.75" thickBot="1">
      <c r="B32" s="96" t="s">
        <v>14</v>
      </c>
      <c r="C32" s="435" t="s">
        <v>15</v>
      </c>
      <c r="D32" s="436"/>
      <c r="E32" s="41">
        <f>E33</f>
        <v>3524</v>
      </c>
      <c r="F32" s="41">
        <f>F33</f>
        <v>112</v>
      </c>
      <c r="G32" s="41">
        <f>G33</f>
        <v>3300</v>
      </c>
      <c r="H32" s="41">
        <v>3300</v>
      </c>
      <c r="I32" s="324">
        <f t="shared" si="0"/>
        <v>0.03393939393939394</v>
      </c>
    </row>
    <row r="33" spans="2:11" ht="13.5" thickBot="1">
      <c r="B33" s="98"/>
      <c r="C33" s="126"/>
      <c r="D33" s="16" t="s">
        <v>16</v>
      </c>
      <c r="E33" s="15">
        <v>3524</v>
      </c>
      <c r="F33" s="15">
        <v>112</v>
      </c>
      <c r="G33" s="15">
        <v>3300</v>
      </c>
      <c r="H33" s="15">
        <v>3300</v>
      </c>
      <c r="I33" s="342">
        <f t="shared" si="0"/>
        <v>0.03393939393939394</v>
      </c>
      <c r="K33" s="7"/>
    </row>
    <row r="34" spans="2:10" s="35" customFormat="1" ht="15.75" thickBot="1">
      <c r="B34" s="99" t="s">
        <v>57</v>
      </c>
      <c r="C34" s="435" t="s">
        <v>58</v>
      </c>
      <c r="D34" s="436"/>
      <c r="E34" s="90">
        <f>SUM(E35:E37)</f>
        <v>47851</v>
      </c>
      <c r="F34" s="90">
        <f>SUM(F35:F37)</f>
        <v>43042</v>
      </c>
      <c r="G34" s="90">
        <f>SUM(G35:G37)</f>
        <v>43997</v>
      </c>
      <c r="H34" s="90">
        <v>43997</v>
      </c>
      <c r="I34" s="343">
        <f t="shared" si="0"/>
        <v>0.9782939745891766</v>
      </c>
      <c r="J34" s="417"/>
    </row>
    <row r="35" spans="2:10" ht="12.75">
      <c r="B35" s="498"/>
      <c r="C35" s="119">
        <v>610</v>
      </c>
      <c r="D35" s="19" t="s">
        <v>2</v>
      </c>
      <c r="E35" s="20">
        <v>19348</v>
      </c>
      <c r="F35" s="20">
        <v>19662</v>
      </c>
      <c r="G35" s="20">
        <v>19190</v>
      </c>
      <c r="H35" s="20">
        <v>19190</v>
      </c>
      <c r="I35" s="331">
        <f t="shared" si="0"/>
        <v>1.0245961438249087</v>
      </c>
      <c r="J35" s="416"/>
    </row>
    <row r="36" spans="2:12" ht="12.75">
      <c r="B36" s="499"/>
      <c r="C36" s="120">
        <v>620</v>
      </c>
      <c r="D36" s="21" t="s">
        <v>3</v>
      </c>
      <c r="E36" s="22">
        <v>6447</v>
      </c>
      <c r="F36" s="22">
        <v>6810</v>
      </c>
      <c r="G36" s="22">
        <f>5353+1354</f>
        <v>6707</v>
      </c>
      <c r="H36" s="22">
        <v>6707</v>
      </c>
      <c r="I36" s="326">
        <f t="shared" si="0"/>
        <v>1.0153570896078723</v>
      </c>
      <c r="J36" s="416"/>
      <c r="K36" s="9"/>
      <c r="L36" s="9"/>
    </row>
    <row r="37" spans="2:9" ht="13.5" thickBot="1">
      <c r="B37" s="500"/>
      <c r="C37" s="120">
        <v>630</v>
      </c>
      <c r="D37" s="21" t="s">
        <v>63</v>
      </c>
      <c r="E37" s="22">
        <v>22056</v>
      </c>
      <c r="F37" s="22">
        <f>16514+56</f>
        <v>16570</v>
      </c>
      <c r="G37" s="22">
        <v>18100</v>
      </c>
      <c r="H37" s="22">
        <v>18100</v>
      </c>
      <c r="I37" s="326">
        <f t="shared" si="0"/>
        <v>0.9154696132596685</v>
      </c>
    </row>
    <row r="38" spans="2:9" s="35" customFormat="1" ht="15.75" thickBot="1">
      <c r="B38" s="96" t="s">
        <v>17</v>
      </c>
      <c r="C38" s="435" t="s">
        <v>18</v>
      </c>
      <c r="D38" s="436"/>
      <c r="E38" s="41">
        <f>E39</f>
        <v>66</v>
      </c>
      <c r="F38" s="41">
        <f>F39</f>
        <v>175</v>
      </c>
      <c r="G38" s="41">
        <f>G39</f>
        <v>200</v>
      </c>
      <c r="H38" s="41">
        <v>200</v>
      </c>
      <c r="I38" s="324">
        <f t="shared" si="0"/>
        <v>0.875</v>
      </c>
    </row>
    <row r="39" spans="2:9" ht="13.5" thickBot="1">
      <c r="B39" s="100"/>
      <c r="C39" s="127">
        <v>640</v>
      </c>
      <c r="D39" s="17" t="s">
        <v>249</v>
      </c>
      <c r="E39" s="217">
        <v>66</v>
      </c>
      <c r="F39" s="217">
        <v>175</v>
      </c>
      <c r="G39" s="217">
        <v>200</v>
      </c>
      <c r="H39" s="15">
        <v>200</v>
      </c>
      <c r="I39" s="342">
        <f t="shared" si="0"/>
        <v>0.875</v>
      </c>
    </row>
    <row r="40" spans="2:9" ht="15.75" thickBot="1">
      <c r="B40" s="96" t="s">
        <v>143</v>
      </c>
      <c r="C40" s="435" t="s">
        <v>31</v>
      </c>
      <c r="D40" s="436"/>
      <c r="E40" s="90">
        <f>SUM(E41:E43)</f>
        <v>31215</v>
      </c>
      <c r="F40" s="90">
        <f>SUM(F41:F43)</f>
        <v>30188</v>
      </c>
      <c r="G40" s="90">
        <f>SUM(G41:G43)</f>
        <v>32778</v>
      </c>
      <c r="H40" s="90">
        <v>32778</v>
      </c>
      <c r="I40" s="343">
        <f t="shared" si="0"/>
        <v>0.9209835865519556</v>
      </c>
    </row>
    <row r="41" spans="2:9" ht="12.75">
      <c r="B41" s="498"/>
      <c r="C41" s="119">
        <v>610</v>
      </c>
      <c r="D41" s="19" t="s">
        <v>2</v>
      </c>
      <c r="E41" s="20">
        <v>18647</v>
      </c>
      <c r="F41" s="20">
        <v>19330</v>
      </c>
      <c r="G41" s="20">
        <v>19695</v>
      </c>
      <c r="H41" s="20">
        <v>19695</v>
      </c>
      <c r="I41" s="331">
        <f t="shared" si="0"/>
        <v>0.9814673775069814</v>
      </c>
    </row>
    <row r="42" spans="2:12" ht="12.75">
      <c r="B42" s="499"/>
      <c r="C42" s="120">
        <v>620</v>
      </c>
      <c r="D42" s="21" t="s">
        <v>3</v>
      </c>
      <c r="E42" s="22">
        <v>6250</v>
      </c>
      <c r="F42" s="22">
        <v>6780</v>
      </c>
      <c r="G42" s="22">
        <f>4949+1934</f>
        <v>6883</v>
      </c>
      <c r="H42" s="22">
        <v>6883</v>
      </c>
      <c r="I42" s="326">
        <f t="shared" si="0"/>
        <v>0.9850355949440651</v>
      </c>
      <c r="J42" s="416"/>
      <c r="K42" s="9"/>
      <c r="L42" s="9"/>
    </row>
    <row r="43" spans="2:9" ht="13.5" thickBot="1">
      <c r="B43" s="500"/>
      <c r="C43" s="133">
        <v>630</v>
      </c>
      <c r="D43" s="33" t="s">
        <v>63</v>
      </c>
      <c r="E43" s="34">
        <v>6318</v>
      </c>
      <c r="F43" s="34">
        <v>4078</v>
      </c>
      <c r="G43" s="34">
        <f>6489-289</f>
        <v>6200</v>
      </c>
      <c r="H43" s="34">
        <v>6200</v>
      </c>
      <c r="I43" s="344">
        <f t="shared" si="0"/>
        <v>0.6577419354838709</v>
      </c>
    </row>
    <row r="44" spans="2:9" s="35" customFormat="1" ht="15.75" thickBot="1">
      <c r="B44" s="96" t="s">
        <v>145</v>
      </c>
      <c r="C44" s="435" t="s">
        <v>19</v>
      </c>
      <c r="D44" s="436"/>
      <c r="E44" s="41">
        <f>SUM(E45:E49)</f>
        <v>398013</v>
      </c>
      <c r="F44" s="41">
        <f>SUM(F45:F49)</f>
        <v>368170</v>
      </c>
      <c r="G44" s="41">
        <f>SUM(G45:G49)</f>
        <v>422146</v>
      </c>
      <c r="H44" s="41">
        <v>367861</v>
      </c>
      <c r="I44" s="324">
        <f t="shared" si="0"/>
        <v>1.0008399911923254</v>
      </c>
    </row>
    <row r="45" spans="2:12" s="35" customFormat="1" ht="13.5" customHeight="1">
      <c r="B45" s="493"/>
      <c r="C45" s="128">
        <v>640</v>
      </c>
      <c r="D45" s="112" t="s">
        <v>163</v>
      </c>
      <c r="E45" s="26">
        <v>333920</v>
      </c>
      <c r="F45" s="26">
        <v>307476</v>
      </c>
      <c r="G45" s="26">
        <v>311000</v>
      </c>
      <c r="H45" s="26">
        <v>307475</v>
      </c>
      <c r="I45" s="340">
        <f t="shared" si="0"/>
        <v>1.0000032522969347</v>
      </c>
      <c r="J45" s="416"/>
      <c r="K45" s="9"/>
      <c r="L45" s="8"/>
    </row>
    <row r="46" spans="2:12" s="35" customFormat="1" ht="13.5" customHeight="1">
      <c r="B46" s="508"/>
      <c r="C46" s="229">
        <v>630</v>
      </c>
      <c r="D46" s="230" t="s">
        <v>276</v>
      </c>
      <c r="E46" s="110">
        <v>1381</v>
      </c>
      <c r="F46" s="110"/>
      <c r="G46" s="110">
        <v>60000</v>
      </c>
      <c r="H46" s="110">
        <v>0</v>
      </c>
      <c r="I46" s="345">
        <f t="shared" si="0"/>
        <v>0</v>
      </c>
      <c r="J46" s="416"/>
      <c r="K46" s="9"/>
      <c r="L46" s="9"/>
    </row>
    <row r="47" spans="2:12" s="35" customFormat="1" ht="13.5" customHeight="1">
      <c r="B47" s="508"/>
      <c r="C47" s="229"/>
      <c r="D47" s="230" t="s">
        <v>370</v>
      </c>
      <c r="E47" s="110"/>
      <c r="F47" s="110">
        <v>9596</v>
      </c>
      <c r="G47" s="110"/>
      <c r="H47" s="110">
        <v>9240</v>
      </c>
      <c r="I47" s="345">
        <f t="shared" si="0"/>
        <v>1.0385281385281386</v>
      </c>
      <c r="J47" s="416"/>
      <c r="K47" s="9"/>
      <c r="L47" s="9"/>
    </row>
    <row r="48" spans="2:9" s="35" customFormat="1" ht="13.5" customHeight="1">
      <c r="B48" s="508"/>
      <c r="C48" s="218">
        <v>650</v>
      </c>
      <c r="D48" s="219" t="s">
        <v>216</v>
      </c>
      <c r="E48" s="28">
        <v>15285</v>
      </c>
      <c r="F48" s="28">
        <v>1145</v>
      </c>
      <c r="G48" s="28">
        <v>1146</v>
      </c>
      <c r="H48" s="28">
        <v>1146</v>
      </c>
      <c r="I48" s="346">
        <f t="shared" si="0"/>
        <v>0.9991273996509599</v>
      </c>
    </row>
    <row r="49" spans="2:9" ht="13.5" thickBot="1">
      <c r="B49" s="494"/>
      <c r="C49" s="129">
        <v>640</v>
      </c>
      <c r="D49" s="111" t="s">
        <v>20</v>
      </c>
      <c r="E49" s="10">
        <v>47427</v>
      </c>
      <c r="F49" s="10">
        <v>49953</v>
      </c>
      <c r="G49" s="10">
        <v>50000</v>
      </c>
      <c r="H49" s="10">
        <v>50000</v>
      </c>
      <c r="I49" s="347">
        <f t="shared" si="0"/>
        <v>0.99906</v>
      </c>
    </row>
    <row r="50" spans="2:16" s="35" customFormat="1" ht="15.75" thickBot="1">
      <c r="B50" s="96" t="s">
        <v>21</v>
      </c>
      <c r="C50" s="435" t="s">
        <v>22</v>
      </c>
      <c r="D50" s="436"/>
      <c r="E50" s="41">
        <f>SUM(E55:E61)+E51</f>
        <v>66506</v>
      </c>
      <c r="F50" s="41">
        <f>SUM(F55:F61)+F51</f>
        <v>76065</v>
      </c>
      <c r="G50" s="41">
        <f>SUM(G55:G61)+G51</f>
        <v>60192</v>
      </c>
      <c r="H50" s="41">
        <v>60192</v>
      </c>
      <c r="I50" s="324">
        <f t="shared" si="0"/>
        <v>1.2637061403508771</v>
      </c>
      <c r="K50" s="242"/>
      <c r="L50" s="242"/>
      <c r="M50" s="242"/>
      <c r="N50" s="242"/>
      <c r="O50" s="242"/>
      <c r="P50" s="242"/>
    </row>
    <row r="51" spans="2:9" ht="13.5" thickBot="1">
      <c r="B51" s="495"/>
      <c r="C51" s="501" t="s">
        <v>230</v>
      </c>
      <c r="D51" s="502"/>
      <c r="E51" s="213">
        <f>SUM(E52:E54)</f>
        <v>26596</v>
      </c>
      <c r="F51" s="213">
        <f>SUM(F52:F54)</f>
        <v>25323</v>
      </c>
      <c r="G51" s="213">
        <f>SUM(G52:G54)</f>
        <v>26007</v>
      </c>
      <c r="H51" s="213">
        <v>26007</v>
      </c>
      <c r="I51" s="348">
        <f t="shared" si="0"/>
        <v>0.9736993886261391</v>
      </c>
    </row>
    <row r="52" spans="2:15" ht="12.75">
      <c r="B52" s="496"/>
      <c r="C52" s="130">
        <v>610</v>
      </c>
      <c r="D52" s="109" t="s">
        <v>2</v>
      </c>
      <c r="E52" s="110">
        <v>18396</v>
      </c>
      <c r="F52" s="110">
        <v>16865</v>
      </c>
      <c r="G52" s="110">
        <v>17271</v>
      </c>
      <c r="H52" s="110">
        <v>17271</v>
      </c>
      <c r="I52" s="345">
        <f t="shared" si="0"/>
        <v>0.9764923860807133</v>
      </c>
      <c r="J52" s="416"/>
      <c r="O52" s="9"/>
    </row>
    <row r="53" spans="2:12" ht="12.75">
      <c r="B53" s="496"/>
      <c r="C53" s="130">
        <v>620</v>
      </c>
      <c r="D53" s="109" t="s">
        <v>3</v>
      </c>
      <c r="E53" s="110">
        <v>5905</v>
      </c>
      <c r="F53" s="110">
        <v>6017</v>
      </c>
      <c r="G53" s="110">
        <v>6036</v>
      </c>
      <c r="H53" s="110">
        <v>6036</v>
      </c>
      <c r="I53" s="345">
        <f t="shared" si="0"/>
        <v>0.9968522200132538</v>
      </c>
      <c r="J53" s="416"/>
      <c r="K53" s="9"/>
      <c r="L53" s="9"/>
    </row>
    <row r="54" spans="2:9" ht="13.5" thickBot="1">
      <c r="B54" s="496"/>
      <c r="C54" s="123">
        <v>630</v>
      </c>
      <c r="D54" s="13" t="s">
        <v>63</v>
      </c>
      <c r="E54" s="173">
        <v>2295</v>
      </c>
      <c r="F54" s="173">
        <v>2441</v>
      </c>
      <c r="G54" s="173">
        <v>2700</v>
      </c>
      <c r="H54" s="173">
        <v>2700</v>
      </c>
      <c r="I54" s="341">
        <f t="shared" si="0"/>
        <v>0.904074074074074</v>
      </c>
    </row>
    <row r="55" spans="2:9" ht="12.75">
      <c r="B55" s="496"/>
      <c r="C55" s="130">
        <v>600</v>
      </c>
      <c r="D55" s="109" t="s">
        <v>23</v>
      </c>
      <c r="E55" s="110">
        <v>21273</v>
      </c>
      <c r="F55" s="110">
        <f>15024-3500</f>
        <v>11524</v>
      </c>
      <c r="G55" s="110">
        <v>10000</v>
      </c>
      <c r="H55" s="110">
        <v>10000</v>
      </c>
      <c r="I55" s="345">
        <f t="shared" si="0"/>
        <v>1.1524</v>
      </c>
    </row>
    <row r="56" spans="2:9" ht="12.75">
      <c r="B56" s="496"/>
      <c r="C56" s="130">
        <v>600</v>
      </c>
      <c r="D56" s="109" t="s">
        <v>211</v>
      </c>
      <c r="E56" s="110"/>
      <c r="F56" s="110"/>
      <c r="G56" s="110">
        <v>2000</v>
      </c>
      <c r="H56" s="110">
        <v>2000</v>
      </c>
      <c r="I56" s="345">
        <f t="shared" si="0"/>
        <v>0</v>
      </c>
    </row>
    <row r="57" spans="2:9" ht="12.75">
      <c r="B57" s="496"/>
      <c r="C57" s="130">
        <v>600</v>
      </c>
      <c r="D57" s="27" t="s">
        <v>24</v>
      </c>
      <c r="E57" s="28">
        <v>5991</v>
      </c>
      <c r="F57" s="28">
        <v>10813</v>
      </c>
      <c r="G57" s="28">
        <v>7885</v>
      </c>
      <c r="H57" s="28">
        <v>7885</v>
      </c>
      <c r="I57" s="346">
        <f t="shared" si="0"/>
        <v>1.3713379835129993</v>
      </c>
    </row>
    <row r="58" spans="2:9" ht="12.75">
      <c r="B58" s="496"/>
      <c r="C58" s="130">
        <v>600</v>
      </c>
      <c r="D58" s="27" t="s">
        <v>215</v>
      </c>
      <c r="E58" s="28">
        <v>2501</v>
      </c>
      <c r="F58" s="28">
        <v>3495</v>
      </c>
      <c r="G58" s="28">
        <v>3500</v>
      </c>
      <c r="H58" s="28">
        <v>3500</v>
      </c>
      <c r="I58" s="346">
        <f t="shared" si="0"/>
        <v>0.9985714285714286</v>
      </c>
    </row>
    <row r="59" spans="2:9" ht="12.75">
      <c r="B59" s="496"/>
      <c r="C59" s="130">
        <v>600</v>
      </c>
      <c r="D59" s="27" t="s">
        <v>25</v>
      </c>
      <c r="E59" s="28">
        <v>9979</v>
      </c>
      <c r="F59" s="28">
        <v>3500</v>
      </c>
      <c r="G59" s="28">
        <v>3500</v>
      </c>
      <c r="H59" s="28">
        <v>3500</v>
      </c>
      <c r="I59" s="346">
        <f t="shared" si="0"/>
        <v>1</v>
      </c>
    </row>
    <row r="60" spans="2:9" ht="12.75">
      <c r="B60" s="496"/>
      <c r="C60" s="130">
        <v>600</v>
      </c>
      <c r="D60" s="27" t="s">
        <v>244</v>
      </c>
      <c r="E60" s="28">
        <v>166</v>
      </c>
      <c r="F60" s="28">
        <v>7429</v>
      </c>
      <c r="G60" s="28">
        <v>7300</v>
      </c>
      <c r="H60" s="28">
        <v>7300</v>
      </c>
      <c r="I60" s="346">
        <f t="shared" si="0"/>
        <v>1.0176712328767124</v>
      </c>
    </row>
    <row r="61" spans="2:9" ht="13.5" thickBot="1">
      <c r="B61" s="497"/>
      <c r="C61" s="130">
        <v>600</v>
      </c>
      <c r="D61" s="23" t="s">
        <v>373</v>
      </c>
      <c r="E61" s="29"/>
      <c r="F61" s="29">
        <v>13981</v>
      </c>
      <c r="G61" s="29"/>
      <c r="H61" s="29">
        <v>0</v>
      </c>
      <c r="I61" s="349">
        <f t="shared" si="0"/>
        <v>0</v>
      </c>
    </row>
    <row r="62" spans="2:9" s="35" customFormat="1" ht="15.75" thickBot="1">
      <c r="B62" s="96" t="s">
        <v>26</v>
      </c>
      <c r="C62" s="435" t="s">
        <v>27</v>
      </c>
      <c r="D62" s="436"/>
      <c r="E62" s="41">
        <f>SUM(E63:E65)</f>
        <v>23225</v>
      </c>
      <c r="F62" s="41">
        <f>SUM(F63:F65)</f>
        <v>22830</v>
      </c>
      <c r="G62" s="41">
        <f>SUM(G63:G65)</f>
        <v>21210</v>
      </c>
      <c r="H62" s="41">
        <v>21210</v>
      </c>
      <c r="I62" s="324">
        <f t="shared" si="0"/>
        <v>1.0763790664780764</v>
      </c>
    </row>
    <row r="63" spans="2:9" ht="12.75">
      <c r="B63" s="495"/>
      <c r="C63" s="131" t="s">
        <v>71</v>
      </c>
      <c r="D63" s="25" t="s">
        <v>189</v>
      </c>
      <c r="E63" s="26">
        <v>10495</v>
      </c>
      <c r="F63" s="26">
        <v>10379</v>
      </c>
      <c r="G63" s="26">
        <v>7320</v>
      </c>
      <c r="H63" s="26">
        <v>7320</v>
      </c>
      <c r="I63" s="340">
        <f t="shared" si="0"/>
        <v>1.417896174863388</v>
      </c>
    </row>
    <row r="64" spans="2:9" ht="12.75">
      <c r="B64" s="496"/>
      <c r="C64" s="132" t="s">
        <v>71</v>
      </c>
      <c r="D64" s="27" t="s">
        <v>190</v>
      </c>
      <c r="E64" s="28">
        <v>7019</v>
      </c>
      <c r="F64" s="28">
        <v>7251</v>
      </c>
      <c r="G64" s="28">
        <v>7450</v>
      </c>
      <c r="H64" s="28">
        <v>7450</v>
      </c>
      <c r="I64" s="346">
        <f t="shared" si="0"/>
        <v>0.9732885906040268</v>
      </c>
    </row>
    <row r="65" spans="1:9" ht="15" thickBot="1">
      <c r="A65" s="35"/>
      <c r="B65" s="497"/>
      <c r="C65" s="121">
        <v>600</v>
      </c>
      <c r="D65" s="23" t="s">
        <v>191</v>
      </c>
      <c r="E65" s="24">
        <v>5711</v>
      </c>
      <c r="F65" s="24">
        <v>5200</v>
      </c>
      <c r="G65" s="24">
        <v>6440</v>
      </c>
      <c r="H65" s="24">
        <v>6440</v>
      </c>
      <c r="I65" s="327">
        <f t="shared" si="0"/>
        <v>0.8074534161490683</v>
      </c>
    </row>
    <row r="66" spans="1:9" ht="15" thickBot="1">
      <c r="A66" s="35"/>
      <c r="B66" s="396"/>
      <c r="C66" s="397"/>
      <c r="D66" s="398"/>
      <c r="E66" s="399"/>
      <c r="F66" s="399"/>
      <c r="G66" s="399"/>
      <c r="H66" s="400"/>
      <c r="I66" s="401"/>
    </row>
    <row r="67" spans="1:9" ht="15" customHeight="1" thickTop="1">
      <c r="A67" s="35"/>
      <c r="B67" s="503" t="s">
        <v>60</v>
      </c>
      <c r="C67" s="487" t="s">
        <v>61</v>
      </c>
      <c r="D67" s="506" t="s">
        <v>62</v>
      </c>
      <c r="E67" s="467" t="s">
        <v>356</v>
      </c>
      <c r="F67" s="467" t="s">
        <v>355</v>
      </c>
      <c r="G67" s="467" t="s">
        <v>357</v>
      </c>
      <c r="H67" s="480" t="s">
        <v>305</v>
      </c>
      <c r="I67" s="528" t="s">
        <v>358</v>
      </c>
    </row>
    <row r="68" spans="1:9" ht="24.75" customHeight="1" thickBot="1">
      <c r="A68" s="35"/>
      <c r="B68" s="504"/>
      <c r="C68" s="488"/>
      <c r="D68" s="507"/>
      <c r="E68" s="468"/>
      <c r="F68" s="468"/>
      <c r="G68" s="468"/>
      <c r="H68" s="481"/>
      <c r="I68" s="529"/>
    </row>
    <row r="69" spans="1:9" s="35" customFormat="1" ht="18" customHeight="1" thickBot="1" thickTop="1">
      <c r="A69" s="415"/>
      <c r="B69" s="96" t="s">
        <v>28</v>
      </c>
      <c r="C69" s="489" t="s">
        <v>29</v>
      </c>
      <c r="D69" s="490"/>
      <c r="E69" s="41">
        <f>SUM(E70:E72)</f>
        <v>456862</v>
      </c>
      <c r="F69" s="41">
        <f>SUM(F70:F72)</f>
        <v>440003</v>
      </c>
      <c r="G69" s="41">
        <f>SUM(G70:G72)</f>
        <v>384975</v>
      </c>
      <c r="H69" s="41">
        <v>435049</v>
      </c>
      <c r="I69" s="324">
        <f aca="true" t="shared" si="1" ref="I69:I132">IF(H69=0,0,F69/H69)</f>
        <v>1.0113872230484382</v>
      </c>
    </row>
    <row r="70" spans="1:9" s="35" customFormat="1" ht="15" customHeight="1">
      <c r="A70" s="415"/>
      <c r="B70" s="493"/>
      <c r="C70" s="122">
        <v>650</v>
      </c>
      <c r="D70" s="232" t="s">
        <v>216</v>
      </c>
      <c r="E70" s="225">
        <v>4411</v>
      </c>
      <c r="F70" s="225">
        <f>3445+1140</f>
        <v>4585</v>
      </c>
      <c r="G70" s="225">
        <v>4585</v>
      </c>
      <c r="H70" s="320">
        <v>4585</v>
      </c>
      <c r="I70" s="350">
        <f t="shared" si="1"/>
        <v>1</v>
      </c>
    </row>
    <row r="71" spans="1:10" s="231" customFormat="1" ht="15" customHeight="1">
      <c r="A71" s="193"/>
      <c r="B71" s="508"/>
      <c r="C71" s="132" t="s">
        <v>279</v>
      </c>
      <c r="D71" s="234" t="s">
        <v>280</v>
      </c>
      <c r="E71" s="235"/>
      <c r="F71" s="235">
        <f>1659+6000</f>
        <v>7659</v>
      </c>
      <c r="G71" s="235">
        <v>48370</v>
      </c>
      <c r="H71" s="28">
        <v>14048</v>
      </c>
      <c r="I71" s="346">
        <f t="shared" si="1"/>
        <v>0.5452021640091116</v>
      </c>
      <c r="J71" s="193"/>
    </row>
    <row r="72" spans="2:10" ht="15.75" customHeight="1" thickBot="1">
      <c r="B72" s="494"/>
      <c r="C72" s="237">
        <v>640</v>
      </c>
      <c r="D72" s="238" t="s">
        <v>259</v>
      </c>
      <c r="E72" s="239">
        <v>452451</v>
      </c>
      <c r="F72" s="239">
        <v>427759</v>
      </c>
      <c r="G72" s="239">
        <f>415000-82980</f>
        <v>332020</v>
      </c>
      <c r="H72" s="29">
        <v>416416</v>
      </c>
      <c r="I72" s="349">
        <f t="shared" si="1"/>
        <v>1.0272395873357412</v>
      </c>
      <c r="J72" s="416"/>
    </row>
    <row r="73" spans="2:9" ht="15.75" thickBot="1">
      <c r="B73" s="102" t="s">
        <v>30</v>
      </c>
      <c r="C73" s="518" t="s">
        <v>32</v>
      </c>
      <c r="D73" s="519"/>
      <c r="E73" s="95">
        <f>SUM(E74:E76)</f>
        <v>20259</v>
      </c>
      <c r="F73" s="95">
        <f>SUM(F74:F76)</f>
        <v>14522</v>
      </c>
      <c r="G73" s="95">
        <f>SUM(G74:G76)</f>
        <v>24314</v>
      </c>
      <c r="H73" s="95">
        <v>24314</v>
      </c>
      <c r="I73" s="330">
        <f t="shared" si="1"/>
        <v>0.5972690630912232</v>
      </c>
    </row>
    <row r="74" spans="2:9" ht="12.75">
      <c r="B74" s="495"/>
      <c r="C74" s="119">
        <v>610</v>
      </c>
      <c r="D74" s="19" t="s">
        <v>2</v>
      </c>
      <c r="E74" s="20">
        <v>13170</v>
      </c>
      <c r="F74" s="20">
        <v>9057</v>
      </c>
      <c r="G74" s="20">
        <f>12120+4000</f>
        <v>16120</v>
      </c>
      <c r="H74" s="20">
        <v>16120</v>
      </c>
      <c r="I74" s="331">
        <f t="shared" si="1"/>
        <v>0.561848635235732</v>
      </c>
    </row>
    <row r="75" spans="2:12" ht="12.75">
      <c r="B75" s="496"/>
      <c r="C75" s="120">
        <v>620</v>
      </c>
      <c r="D75" s="21" t="s">
        <v>3</v>
      </c>
      <c r="E75" s="22">
        <v>4447</v>
      </c>
      <c r="F75" s="22">
        <v>3981</v>
      </c>
      <c r="G75" s="22">
        <f>3333+800+1501</f>
        <v>5634</v>
      </c>
      <c r="H75" s="22">
        <v>5634</v>
      </c>
      <c r="I75" s="326">
        <f t="shared" si="1"/>
        <v>0.7066027689030884</v>
      </c>
      <c r="J75" s="416"/>
      <c r="K75" s="9"/>
      <c r="L75" s="9"/>
    </row>
    <row r="76" spans="2:9" ht="13.5" thickBot="1">
      <c r="B76" s="497"/>
      <c r="C76" s="121">
        <v>630</v>
      </c>
      <c r="D76" s="23" t="s">
        <v>63</v>
      </c>
      <c r="E76" s="24">
        <v>2642</v>
      </c>
      <c r="F76" s="24">
        <v>1484</v>
      </c>
      <c r="G76" s="24">
        <v>2560</v>
      </c>
      <c r="H76" s="24">
        <v>2560</v>
      </c>
      <c r="I76" s="327">
        <f t="shared" si="1"/>
        <v>0.5796875</v>
      </c>
    </row>
    <row r="77" spans="2:9" ht="15.75" thickBot="1">
      <c r="B77" s="102" t="s">
        <v>33</v>
      </c>
      <c r="C77" s="518" t="s">
        <v>34</v>
      </c>
      <c r="D77" s="519"/>
      <c r="E77" s="95">
        <f>SUM(E78:E80)</f>
        <v>15109</v>
      </c>
      <c r="F77" s="95">
        <f>SUM(F78:F80)</f>
        <v>14271</v>
      </c>
      <c r="G77" s="95">
        <f>SUM(G78:G80)</f>
        <v>15721</v>
      </c>
      <c r="H77" s="95">
        <v>15721</v>
      </c>
      <c r="I77" s="330">
        <f t="shared" si="1"/>
        <v>0.9077666815088099</v>
      </c>
    </row>
    <row r="78" spans="2:9" ht="12.75">
      <c r="B78" s="495"/>
      <c r="C78" s="119">
        <v>610</v>
      </c>
      <c r="D78" s="19" t="s">
        <v>2</v>
      </c>
      <c r="E78" s="20">
        <v>9417</v>
      </c>
      <c r="F78" s="20">
        <v>9528</v>
      </c>
      <c r="G78" s="20">
        <v>9696</v>
      </c>
      <c r="H78" s="20">
        <v>9696</v>
      </c>
      <c r="I78" s="331">
        <f t="shared" si="1"/>
        <v>0.9826732673267327</v>
      </c>
    </row>
    <row r="79" spans="2:12" ht="12.75">
      <c r="B79" s="496"/>
      <c r="C79" s="120">
        <v>620</v>
      </c>
      <c r="D79" s="21" t="s">
        <v>3</v>
      </c>
      <c r="E79" s="22">
        <v>3567</v>
      </c>
      <c r="F79" s="22">
        <v>3607</v>
      </c>
      <c r="G79" s="22">
        <f>2727+662</f>
        <v>3389</v>
      </c>
      <c r="H79" s="22">
        <v>3389</v>
      </c>
      <c r="I79" s="326">
        <f t="shared" si="1"/>
        <v>1.0643257598111537</v>
      </c>
      <c r="J79" s="416"/>
      <c r="K79" s="9"/>
      <c r="L79" s="9"/>
    </row>
    <row r="80" spans="2:9" ht="13.5" thickBot="1">
      <c r="B80" s="497"/>
      <c r="C80" s="121">
        <v>630</v>
      </c>
      <c r="D80" s="23" t="s">
        <v>63</v>
      </c>
      <c r="E80" s="24">
        <v>2125</v>
      </c>
      <c r="F80" s="24">
        <v>1136</v>
      </c>
      <c r="G80" s="24">
        <v>2636</v>
      </c>
      <c r="H80" s="24">
        <v>2636</v>
      </c>
      <c r="I80" s="327">
        <f t="shared" si="1"/>
        <v>0.4309559939301973</v>
      </c>
    </row>
    <row r="81" spans="2:11" ht="15.75" thickBot="1">
      <c r="B81" s="102" t="s">
        <v>164</v>
      </c>
      <c r="C81" s="455" t="s">
        <v>165</v>
      </c>
      <c r="D81" s="456"/>
      <c r="E81" s="95">
        <f>SUM(E82:E95)</f>
        <v>214824</v>
      </c>
      <c r="F81" s="95">
        <f>SUM(F82:F95)</f>
        <v>646088</v>
      </c>
      <c r="G81" s="95">
        <f>SUM(G82:G95)</f>
        <v>388107</v>
      </c>
      <c r="H81" s="95">
        <v>718408</v>
      </c>
      <c r="I81" s="330">
        <f t="shared" si="1"/>
        <v>0.8993329695660405</v>
      </c>
      <c r="K81" s="9"/>
    </row>
    <row r="82" spans="2:11" ht="12.75">
      <c r="B82" s="498"/>
      <c r="C82" s="119">
        <v>640</v>
      </c>
      <c r="D82" s="19" t="s">
        <v>217</v>
      </c>
      <c r="E82" s="20">
        <v>3965</v>
      </c>
      <c r="F82" s="20"/>
      <c r="G82" s="20"/>
      <c r="H82" s="20">
        <v>0</v>
      </c>
      <c r="I82" s="331">
        <f t="shared" si="1"/>
        <v>0</v>
      </c>
      <c r="K82" s="9"/>
    </row>
    <row r="83" spans="2:9" ht="12.75">
      <c r="B83" s="499"/>
      <c r="C83" s="120">
        <v>630</v>
      </c>
      <c r="D83" s="21" t="s">
        <v>325</v>
      </c>
      <c r="E83" s="22">
        <v>20211</v>
      </c>
      <c r="F83" s="22">
        <v>134226</v>
      </c>
      <c r="G83" s="22"/>
      <c r="H83" s="22">
        <v>134226</v>
      </c>
      <c r="I83" s="326">
        <f t="shared" si="1"/>
        <v>1</v>
      </c>
    </row>
    <row r="84" spans="2:10" ht="12.75">
      <c r="B84" s="499"/>
      <c r="C84" s="120">
        <v>630</v>
      </c>
      <c r="D84" s="21" t="s">
        <v>319</v>
      </c>
      <c r="E84" s="22"/>
      <c r="F84" s="22"/>
      <c r="G84" s="22"/>
      <c r="H84" s="22">
        <v>0</v>
      </c>
      <c r="I84" s="326">
        <f t="shared" si="1"/>
        <v>0</v>
      </c>
      <c r="J84" s="416"/>
    </row>
    <row r="85" spans="2:10" ht="12.75">
      <c r="B85" s="499"/>
      <c r="C85" s="120">
        <v>630</v>
      </c>
      <c r="D85" s="21" t="s">
        <v>326</v>
      </c>
      <c r="E85" s="22"/>
      <c r="F85" s="22">
        <v>8300</v>
      </c>
      <c r="G85" s="22"/>
      <c r="H85" s="22">
        <v>8300</v>
      </c>
      <c r="I85" s="326">
        <f t="shared" si="1"/>
        <v>1</v>
      </c>
      <c r="J85" s="416"/>
    </row>
    <row r="86" spans="2:10" ht="12.75">
      <c r="B86" s="499"/>
      <c r="C86" s="120">
        <v>630</v>
      </c>
      <c r="D86" s="21" t="s">
        <v>327</v>
      </c>
      <c r="E86" s="22">
        <v>47076</v>
      </c>
      <c r="F86" s="22">
        <v>397</v>
      </c>
      <c r="G86" s="22"/>
      <c r="H86" s="22">
        <v>500</v>
      </c>
      <c r="I86" s="326">
        <f t="shared" si="1"/>
        <v>0.794</v>
      </c>
      <c r="J86" s="416"/>
    </row>
    <row r="87" spans="2:9" ht="12.75">
      <c r="B87" s="499"/>
      <c r="C87" s="120">
        <v>630</v>
      </c>
      <c r="D87" s="21" t="s">
        <v>265</v>
      </c>
      <c r="E87" s="34">
        <v>1742</v>
      </c>
      <c r="F87" s="22">
        <f>41498+7002</f>
        <v>48500</v>
      </c>
      <c r="G87" s="22">
        <v>127400</v>
      </c>
      <c r="H87" s="22">
        <v>131400</v>
      </c>
      <c r="I87" s="326">
        <f t="shared" si="1"/>
        <v>0.3691019786910198</v>
      </c>
    </row>
    <row r="88" spans="2:9" ht="12.75">
      <c r="B88" s="499"/>
      <c r="C88" s="120">
        <v>630</v>
      </c>
      <c r="D88" s="21" t="s">
        <v>278</v>
      </c>
      <c r="E88" s="22"/>
      <c r="F88" s="22"/>
      <c r="G88" s="22">
        <v>14666</v>
      </c>
      <c r="H88" s="22">
        <v>14466</v>
      </c>
      <c r="I88" s="326">
        <f t="shared" si="1"/>
        <v>0</v>
      </c>
    </row>
    <row r="89" spans="2:9" ht="12.75">
      <c r="B89" s="499"/>
      <c r="C89" s="120">
        <v>630</v>
      </c>
      <c r="D89" s="21" t="s">
        <v>289</v>
      </c>
      <c r="E89" s="22"/>
      <c r="F89" s="22">
        <v>29484</v>
      </c>
      <c r="G89" s="22">
        <v>106041</v>
      </c>
      <c r="H89" s="22">
        <v>29484</v>
      </c>
      <c r="I89" s="326">
        <f t="shared" si="1"/>
        <v>1</v>
      </c>
    </row>
    <row r="90" spans="2:19" ht="12.75">
      <c r="B90" s="499"/>
      <c r="C90" s="120">
        <v>630</v>
      </c>
      <c r="D90" s="21" t="s">
        <v>328</v>
      </c>
      <c r="E90" s="22"/>
      <c r="F90" s="22">
        <v>22789</v>
      </c>
      <c r="G90" s="22"/>
      <c r="H90" s="22">
        <v>22790</v>
      </c>
      <c r="I90" s="326">
        <f t="shared" si="1"/>
        <v>0.9999561211057482</v>
      </c>
      <c r="K90" s="9"/>
      <c r="O90" s="9"/>
      <c r="P90" s="9"/>
      <c r="Q90" s="9"/>
      <c r="R90" s="9"/>
      <c r="S90" s="9"/>
    </row>
    <row r="91" spans="2:19" ht="12.75">
      <c r="B91" s="499"/>
      <c r="C91" s="120">
        <v>630</v>
      </c>
      <c r="D91" s="21" t="s">
        <v>329</v>
      </c>
      <c r="E91" s="22"/>
      <c r="F91" s="22">
        <v>4968</v>
      </c>
      <c r="G91" s="22"/>
      <c r="H91" s="22">
        <v>5000</v>
      </c>
      <c r="I91" s="326">
        <f t="shared" si="1"/>
        <v>0.9936</v>
      </c>
      <c r="O91" s="9"/>
      <c r="P91" s="9"/>
      <c r="Q91" s="9"/>
      <c r="R91" s="9"/>
      <c r="S91" s="9"/>
    </row>
    <row r="92" spans="2:19" ht="12.75">
      <c r="B92" s="499"/>
      <c r="C92" s="133">
        <v>630</v>
      </c>
      <c r="D92" s="21" t="s">
        <v>277</v>
      </c>
      <c r="E92" s="22"/>
      <c r="F92" s="22">
        <f>13498+10957</f>
        <v>24455</v>
      </c>
      <c r="G92" s="22">
        <v>13000</v>
      </c>
      <c r="H92" s="22">
        <v>31825</v>
      </c>
      <c r="I92" s="326">
        <f t="shared" si="1"/>
        <v>0.7684210526315789</v>
      </c>
      <c r="J92" s="416"/>
      <c r="O92" s="9"/>
      <c r="P92" s="9"/>
      <c r="Q92" s="9"/>
      <c r="R92" s="9"/>
      <c r="S92" s="9"/>
    </row>
    <row r="93" spans="2:19" ht="12.75">
      <c r="B93" s="499"/>
      <c r="C93" s="133">
        <v>630</v>
      </c>
      <c r="D93" s="33" t="s">
        <v>338</v>
      </c>
      <c r="E93" s="34"/>
      <c r="F93" s="34">
        <f>183671+150-109</f>
        <v>183712</v>
      </c>
      <c r="G93" s="34"/>
      <c r="H93" s="22">
        <v>144000</v>
      </c>
      <c r="I93" s="326">
        <f t="shared" si="1"/>
        <v>1.2757777777777777</v>
      </c>
      <c r="J93" s="416"/>
      <c r="K93" s="9"/>
      <c r="O93" s="9"/>
      <c r="P93" s="9"/>
      <c r="Q93" s="9"/>
      <c r="R93" s="9"/>
      <c r="S93" s="9"/>
    </row>
    <row r="94" spans="2:19" ht="12.75">
      <c r="B94" s="499"/>
      <c r="C94" s="133">
        <v>630</v>
      </c>
      <c r="D94" s="33" t="s">
        <v>339</v>
      </c>
      <c r="E94" s="34"/>
      <c r="F94" s="34">
        <f>49722+2535</f>
        <v>52257</v>
      </c>
      <c r="G94" s="34"/>
      <c r="H94" s="22">
        <v>59417</v>
      </c>
      <c r="I94" s="326">
        <f t="shared" si="1"/>
        <v>0.879495767204672</v>
      </c>
      <c r="J94" s="416"/>
      <c r="K94" s="9"/>
      <c r="O94" s="9"/>
      <c r="P94" s="9"/>
      <c r="Q94" s="9"/>
      <c r="R94" s="9"/>
      <c r="S94" s="9"/>
    </row>
    <row r="95" spans="2:19" ht="13.5" thickBot="1">
      <c r="B95" s="500"/>
      <c r="C95" s="121">
        <v>640</v>
      </c>
      <c r="D95" s="23" t="s">
        <v>166</v>
      </c>
      <c r="E95" s="34">
        <v>141830</v>
      </c>
      <c r="F95" s="34">
        <v>137000</v>
      </c>
      <c r="G95" s="34">
        <v>127000</v>
      </c>
      <c r="H95" s="34">
        <v>137000</v>
      </c>
      <c r="I95" s="344">
        <f t="shared" si="1"/>
        <v>1</v>
      </c>
      <c r="J95" s="416"/>
      <c r="O95" s="9"/>
      <c r="S95" s="9"/>
    </row>
    <row r="96" spans="2:9" ht="15.75" thickBot="1">
      <c r="B96" s="102" t="s">
        <v>35</v>
      </c>
      <c r="C96" s="455" t="s">
        <v>36</v>
      </c>
      <c r="D96" s="456"/>
      <c r="E96" s="41">
        <f>E97</f>
        <v>4189</v>
      </c>
      <c r="F96" s="41">
        <f>F97</f>
        <v>5005</v>
      </c>
      <c r="G96" s="41">
        <f>G97</f>
        <v>6000</v>
      </c>
      <c r="H96" s="41">
        <v>6000</v>
      </c>
      <c r="I96" s="324">
        <f t="shared" si="1"/>
        <v>0.8341666666666666</v>
      </c>
    </row>
    <row r="97" spans="2:9" ht="13.5" thickBot="1">
      <c r="B97" s="101"/>
      <c r="C97" s="134"/>
      <c r="D97" s="14" t="s">
        <v>271</v>
      </c>
      <c r="E97" s="15">
        <v>4189</v>
      </c>
      <c r="F97" s="15">
        <v>5005</v>
      </c>
      <c r="G97" s="15">
        <v>6000</v>
      </c>
      <c r="H97" s="15">
        <v>6000</v>
      </c>
      <c r="I97" s="342">
        <f t="shared" si="1"/>
        <v>0.8341666666666666</v>
      </c>
    </row>
    <row r="98" spans="2:9" ht="15.75" thickBot="1">
      <c r="B98" s="102" t="s">
        <v>149</v>
      </c>
      <c r="C98" s="455" t="s">
        <v>150</v>
      </c>
      <c r="D98" s="456"/>
      <c r="E98" s="95">
        <f>E99</f>
        <v>210760</v>
      </c>
      <c r="F98" s="95">
        <f>F99</f>
        <v>216000</v>
      </c>
      <c r="G98" s="95">
        <f>G99</f>
        <v>211000</v>
      </c>
      <c r="H98" s="95">
        <v>216000</v>
      </c>
      <c r="I98" s="330">
        <f t="shared" si="1"/>
        <v>1</v>
      </c>
    </row>
    <row r="99" spans="2:9" ht="13.5" thickBot="1">
      <c r="B99" s="101"/>
      <c r="C99" s="134">
        <v>640</v>
      </c>
      <c r="D99" s="14" t="s">
        <v>167</v>
      </c>
      <c r="E99" s="15">
        <v>210760</v>
      </c>
      <c r="F99" s="15">
        <v>216000</v>
      </c>
      <c r="G99" s="15">
        <v>211000</v>
      </c>
      <c r="H99" s="15">
        <v>216000</v>
      </c>
      <c r="I99" s="342">
        <f t="shared" si="1"/>
        <v>1</v>
      </c>
    </row>
    <row r="100" spans="2:9" ht="15.75" thickBot="1">
      <c r="B100" s="102" t="s">
        <v>151</v>
      </c>
      <c r="C100" s="455" t="s">
        <v>152</v>
      </c>
      <c r="D100" s="456"/>
      <c r="E100" s="95">
        <f>SUM(E101:E102)</f>
        <v>312928</v>
      </c>
      <c r="F100" s="95">
        <f>SUM(F101:F102)</f>
        <v>336361</v>
      </c>
      <c r="G100" s="95">
        <f>SUM(G101:G102)</f>
        <v>341090</v>
      </c>
      <c r="H100" s="95">
        <v>358920</v>
      </c>
      <c r="I100" s="330">
        <f t="shared" si="1"/>
        <v>0.9371475537724284</v>
      </c>
    </row>
    <row r="101" spans="2:12" ht="12.75">
      <c r="B101" s="493"/>
      <c r="C101" s="119">
        <v>600</v>
      </c>
      <c r="D101" s="112" t="s">
        <v>246</v>
      </c>
      <c r="E101" s="26">
        <v>279858</v>
      </c>
      <c r="F101" s="26">
        <f>308198-4760-1077</f>
        <v>302361</v>
      </c>
      <c r="G101" s="26">
        <f>287090+30000-10000</f>
        <v>307090</v>
      </c>
      <c r="H101" s="26">
        <v>324920</v>
      </c>
      <c r="I101" s="340">
        <f t="shared" si="1"/>
        <v>0.930570601994337</v>
      </c>
      <c r="J101" s="416"/>
      <c r="K101" s="9"/>
      <c r="L101" s="9"/>
    </row>
    <row r="102" spans="2:9" ht="13.5" thickBot="1">
      <c r="B102" s="494"/>
      <c r="C102" s="129">
        <v>640</v>
      </c>
      <c r="D102" s="186" t="s">
        <v>167</v>
      </c>
      <c r="E102" s="185">
        <v>33070</v>
      </c>
      <c r="F102" s="185">
        <v>34000</v>
      </c>
      <c r="G102" s="185">
        <v>34000</v>
      </c>
      <c r="H102" s="185">
        <v>34000</v>
      </c>
      <c r="I102" s="332">
        <f t="shared" si="1"/>
        <v>1</v>
      </c>
    </row>
    <row r="103" spans="2:12" ht="15.75" thickBot="1">
      <c r="B103" s="96" t="s">
        <v>37</v>
      </c>
      <c r="C103" s="435" t="s">
        <v>234</v>
      </c>
      <c r="D103" s="436"/>
      <c r="E103" s="41">
        <f>SUM(E104:E105)</f>
        <v>237941</v>
      </c>
      <c r="F103" s="41">
        <f>SUM(F104:F105)</f>
        <v>273708</v>
      </c>
      <c r="G103" s="41">
        <f>SUM(G104:G105)</f>
        <v>272757</v>
      </c>
      <c r="H103" s="41">
        <v>283462</v>
      </c>
      <c r="I103" s="324">
        <f t="shared" si="1"/>
        <v>0.9655897439515703</v>
      </c>
      <c r="J103" s="416"/>
      <c r="K103" s="9"/>
      <c r="L103" s="9"/>
    </row>
    <row r="104" spans="2:12" ht="12.75">
      <c r="B104" s="495"/>
      <c r="C104" s="135"/>
      <c r="D104" s="19" t="s">
        <v>235</v>
      </c>
      <c r="E104" s="20">
        <v>190734</v>
      </c>
      <c r="F104" s="20">
        <v>216608</v>
      </c>
      <c r="G104" s="20">
        <f>220657-19900+12000</f>
        <v>212757</v>
      </c>
      <c r="H104" s="20">
        <v>226462</v>
      </c>
      <c r="I104" s="331">
        <f t="shared" si="1"/>
        <v>0.9564871810723212</v>
      </c>
      <c r="K104" s="9"/>
      <c r="L104" s="9"/>
    </row>
    <row r="105" spans="2:12" ht="13.5" thickBot="1">
      <c r="B105" s="497"/>
      <c r="C105" s="136"/>
      <c r="D105" s="23" t="s">
        <v>250</v>
      </c>
      <c r="E105" s="24">
        <v>47207</v>
      </c>
      <c r="F105" s="24">
        <v>57100</v>
      </c>
      <c r="G105" s="24">
        <f>50000+10000</f>
        <v>60000</v>
      </c>
      <c r="H105" s="24">
        <v>57000</v>
      </c>
      <c r="I105" s="327">
        <f t="shared" si="1"/>
        <v>1.0017543859649123</v>
      </c>
      <c r="K105" s="9"/>
      <c r="L105" s="9"/>
    </row>
    <row r="106" spans="2:9" ht="15.75" thickBot="1">
      <c r="B106" s="96" t="s">
        <v>38</v>
      </c>
      <c r="C106" s="435" t="s">
        <v>39</v>
      </c>
      <c r="D106" s="436"/>
      <c r="E106" s="41">
        <f>SUM(E107:E115)</f>
        <v>322185</v>
      </c>
      <c r="F106" s="41">
        <f>SUM(F107:F115)</f>
        <v>434860</v>
      </c>
      <c r="G106" s="41">
        <f>SUM(G107:G115)</f>
        <v>314908</v>
      </c>
      <c r="H106" s="41">
        <v>382572</v>
      </c>
      <c r="I106" s="324">
        <f t="shared" si="1"/>
        <v>1.1366749265497735</v>
      </c>
    </row>
    <row r="107" spans="2:13" ht="12.75">
      <c r="B107" s="495"/>
      <c r="C107" s="137"/>
      <c r="D107" s="30" t="s">
        <v>40</v>
      </c>
      <c r="E107" s="20">
        <v>6062</v>
      </c>
      <c r="F107" s="20">
        <v>5264</v>
      </c>
      <c r="G107" s="20">
        <v>7120</v>
      </c>
      <c r="H107" s="20">
        <v>7120</v>
      </c>
      <c r="I107" s="331">
        <f t="shared" si="1"/>
        <v>0.7393258426966293</v>
      </c>
      <c r="M107" s="9"/>
    </row>
    <row r="108" spans="2:13" ht="12.75">
      <c r="B108" s="496"/>
      <c r="C108" s="224"/>
      <c r="D108" s="31" t="s">
        <v>41</v>
      </c>
      <c r="E108" s="39"/>
      <c r="F108" s="39"/>
      <c r="G108" s="39"/>
      <c r="H108" s="39">
        <v>0</v>
      </c>
      <c r="I108" s="325">
        <f t="shared" si="1"/>
        <v>0</v>
      </c>
      <c r="K108" s="9"/>
      <c r="M108" s="9"/>
    </row>
    <row r="109" spans="2:9" ht="12.75">
      <c r="B109" s="496"/>
      <c r="C109" s="224"/>
      <c r="D109" s="31" t="s">
        <v>266</v>
      </c>
      <c r="E109" s="39">
        <v>9898</v>
      </c>
      <c r="F109" s="39"/>
      <c r="G109" s="39"/>
      <c r="H109" s="39">
        <v>0</v>
      </c>
      <c r="I109" s="325">
        <f t="shared" si="1"/>
        <v>0</v>
      </c>
    </row>
    <row r="110" spans="2:11" ht="12.75">
      <c r="B110" s="496"/>
      <c r="C110" s="224"/>
      <c r="D110" s="31" t="s">
        <v>267</v>
      </c>
      <c r="E110" s="39">
        <v>30665</v>
      </c>
      <c r="F110" s="39">
        <f>140343-105284+7632+109</f>
        <v>42800</v>
      </c>
      <c r="G110" s="39"/>
      <c r="H110" s="39">
        <v>36200</v>
      </c>
      <c r="I110" s="325">
        <f t="shared" si="1"/>
        <v>1.1823204419889504</v>
      </c>
      <c r="K110" s="9"/>
    </row>
    <row r="111" spans="2:11" ht="12.75">
      <c r="B111" s="496"/>
      <c r="C111" s="224"/>
      <c r="D111" s="31" t="s">
        <v>270</v>
      </c>
      <c r="E111" s="39"/>
      <c r="F111" s="39">
        <v>105284</v>
      </c>
      <c r="G111" s="39">
        <v>36548</v>
      </c>
      <c r="H111" s="39">
        <v>38548</v>
      </c>
      <c r="I111" s="325">
        <f t="shared" si="1"/>
        <v>2.7312441631213034</v>
      </c>
      <c r="K111" s="9"/>
    </row>
    <row r="112" spans="2:10" ht="12.75">
      <c r="B112" s="496"/>
      <c r="C112" s="138"/>
      <c r="D112" s="31" t="s">
        <v>342</v>
      </c>
      <c r="E112" s="22">
        <v>15084</v>
      </c>
      <c r="F112" s="22">
        <v>13182</v>
      </c>
      <c r="G112" s="22">
        <v>15000</v>
      </c>
      <c r="H112" s="22">
        <v>13500</v>
      </c>
      <c r="I112" s="326">
        <f t="shared" si="1"/>
        <v>0.9764444444444444</v>
      </c>
      <c r="J112" s="416"/>
    </row>
    <row r="113" spans="2:11" ht="12.75">
      <c r="B113" s="496"/>
      <c r="C113" s="138"/>
      <c r="D113" s="31" t="s">
        <v>231</v>
      </c>
      <c r="E113" s="22">
        <v>91400</v>
      </c>
      <c r="F113" s="22">
        <v>139476</v>
      </c>
      <c r="G113" s="22">
        <v>128350</v>
      </c>
      <c r="H113" s="22">
        <v>158350</v>
      </c>
      <c r="I113" s="326">
        <f t="shared" si="1"/>
        <v>0.8808083359646353</v>
      </c>
      <c r="J113" s="416"/>
      <c r="K113" s="7"/>
    </row>
    <row r="114" spans="2:13" ht="12.75">
      <c r="B114" s="496"/>
      <c r="C114" s="138"/>
      <c r="D114" s="31" t="s">
        <v>232</v>
      </c>
      <c r="E114" s="22">
        <v>143286</v>
      </c>
      <c r="F114" s="22">
        <v>85264</v>
      </c>
      <c r="G114" s="22">
        <v>84300</v>
      </c>
      <c r="H114" s="22">
        <v>85264</v>
      </c>
      <c r="I114" s="326">
        <f t="shared" si="1"/>
        <v>1</v>
      </c>
      <c r="K114" s="9"/>
      <c r="L114" s="9"/>
      <c r="M114" s="9"/>
    </row>
    <row r="115" spans="2:9" ht="13.5" thickBot="1">
      <c r="B115" s="497"/>
      <c r="C115" s="138"/>
      <c r="D115" s="32" t="s">
        <v>233</v>
      </c>
      <c r="E115" s="24">
        <v>25790</v>
      </c>
      <c r="F115" s="24">
        <v>43590</v>
      </c>
      <c r="G115" s="24">
        <v>43590</v>
      </c>
      <c r="H115" s="24">
        <v>43590</v>
      </c>
      <c r="I115" s="327">
        <f t="shared" si="1"/>
        <v>1</v>
      </c>
    </row>
    <row r="116" spans="2:9" s="37" customFormat="1" ht="15.75" thickBot="1">
      <c r="B116" s="118" t="s">
        <v>157</v>
      </c>
      <c r="C116" s="435" t="s">
        <v>158</v>
      </c>
      <c r="D116" s="436"/>
      <c r="E116" s="95">
        <f>SUM(E117:E118)</f>
        <v>48780</v>
      </c>
      <c r="F116" s="95">
        <f>SUM(F117:F118)</f>
        <v>52570</v>
      </c>
      <c r="G116" s="95">
        <f>SUM(G117:G118)</f>
        <v>56500</v>
      </c>
      <c r="H116" s="95">
        <v>53500</v>
      </c>
      <c r="I116" s="330">
        <f t="shared" si="1"/>
        <v>0.9826168224299066</v>
      </c>
    </row>
    <row r="117" spans="2:19" ht="12.75">
      <c r="B117" s="495"/>
      <c r="C117" s="119">
        <v>630</v>
      </c>
      <c r="D117" s="30" t="s">
        <v>159</v>
      </c>
      <c r="E117" s="20">
        <v>39726</v>
      </c>
      <c r="F117" s="20">
        <v>43006</v>
      </c>
      <c r="G117" s="20">
        <v>46500</v>
      </c>
      <c r="H117" s="20">
        <v>43500</v>
      </c>
      <c r="I117" s="331">
        <f t="shared" si="1"/>
        <v>0.9886436781609196</v>
      </c>
      <c r="K117" s="261"/>
      <c r="L117" s="9"/>
      <c r="M117" s="9"/>
      <c r="N117" s="9"/>
      <c r="O117" s="9"/>
      <c r="P117" s="9"/>
      <c r="Q117" s="9"/>
      <c r="S117" s="258"/>
    </row>
    <row r="118" spans="2:19" ht="13.5" thickBot="1">
      <c r="B118" s="497"/>
      <c r="C118" s="121">
        <v>630</v>
      </c>
      <c r="D118" s="32" t="s">
        <v>160</v>
      </c>
      <c r="E118" s="24">
        <v>9054</v>
      </c>
      <c r="F118" s="24">
        <v>9564</v>
      </c>
      <c r="G118" s="24">
        <v>10000</v>
      </c>
      <c r="H118" s="24">
        <v>10000</v>
      </c>
      <c r="I118" s="327">
        <f t="shared" si="1"/>
        <v>0.9564</v>
      </c>
      <c r="K118" s="9"/>
      <c r="L118" s="9"/>
      <c r="M118" s="9"/>
      <c r="N118" s="9"/>
      <c r="O118" s="9"/>
      <c r="P118" s="9"/>
      <c r="Q118" s="9"/>
      <c r="S118" s="258"/>
    </row>
    <row r="119" spans="2:19" s="35" customFormat="1" ht="15.75" thickBot="1">
      <c r="B119" s="102" t="s">
        <v>42</v>
      </c>
      <c r="C119" s="435" t="s">
        <v>43</v>
      </c>
      <c r="D119" s="436"/>
      <c r="E119" s="41">
        <f>SUM(E120:E123)</f>
        <v>50904</v>
      </c>
      <c r="F119" s="41">
        <f>SUM(F120:F123)</f>
        <v>43602</v>
      </c>
      <c r="G119" s="41">
        <f>SUM(G120:G123)</f>
        <v>38120</v>
      </c>
      <c r="H119" s="41">
        <v>44917</v>
      </c>
      <c r="I119" s="324">
        <f t="shared" si="1"/>
        <v>0.9707237794153661</v>
      </c>
      <c r="K119" s="242"/>
      <c r="L119" s="242"/>
      <c r="M119" s="242"/>
      <c r="N119" s="242"/>
      <c r="O119" s="242"/>
      <c r="P119" s="242"/>
      <c r="Q119" s="242"/>
      <c r="S119" s="258"/>
    </row>
    <row r="120" spans="2:19" ht="12.75">
      <c r="B120" s="514"/>
      <c r="C120" s="484"/>
      <c r="D120" s="21" t="s">
        <v>194</v>
      </c>
      <c r="E120" s="22">
        <v>13480</v>
      </c>
      <c r="F120" s="22">
        <v>6009</v>
      </c>
      <c r="G120" s="22">
        <v>4120</v>
      </c>
      <c r="H120" s="22">
        <v>4120</v>
      </c>
      <c r="I120" s="326">
        <f t="shared" si="1"/>
        <v>1.458495145631068</v>
      </c>
      <c r="K120" s="9"/>
      <c r="L120" s="9"/>
      <c r="M120" s="9"/>
      <c r="N120" s="9"/>
      <c r="O120" s="9"/>
      <c r="P120" s="9"/>
      <c r="Q120" s="9"/>
      <c r="S120" s="258"/>
    </row>
    <row r="121" spans="2:19" ht="12.75">
      <c r="B121" s="514"/>
      <c r="C121" s="485"/>
      <c r="D121" s="21" t="s">
        <v>348</v>
      </c>
      <c r="E121" s="34"/>
      <c r="F121" s="34">
        <v>4048</v>
      </c>
      <c r="G121" s="34"/>
      <c r="H121" s="34">
        <v>4048</v>
      </c>
      <c r="I121" s="344">
        <f t="shared" si="1"/>
        <v>1</v>
      </c>
      <c r="K121" s="9"/>
      <c r="L121" s="9"/>
      <c r="M121" s="9"/>
      <c r="N121" s="9"/>
      <c r="O121" s="9"/>
      <c r="P121" s="9"/>
      <c r="Q121" s="9"/>
      <c r="S121" s="258"/>
    </row>
    <row r="122" spans="2:19" ht="12.75">
      <c r="B122" s="514"/>
      <c r="C122" s="485"/>
      <c r="D122" s="21" t="s">
        <v>268</v>
      </c>
      <c r="E122" s="34">
        <v>33390</v>
      </c>
      <c r="F122" s="34">
        <v>32749</v>
      </c>
      <c r="G122" s="34">
        <v>30000</v>
      </c>
      <c r="H122" s="34">
        <v>32749</v>
      </c>
      <c r="I122" s="344">
        <f t="shared" si="1"/>
        <v>1</v>
      </c>
      <c r="K122" s="9"/>
      <c r="L122" s="9"/>
      <c r="M122" s="9"/>
      <c r="N122" s="9"/>
      <c r="O122" s="9"/>
      <c r="P122" s="9"/>
      <c r="Q122" s="9"/>
      <c r="S122" s="258"/>
    </row>
    <row r="123" spans="2:9" ht="13.5" thickBot="1">
      <c r="B123" s="515"/>
      <c r="C123" s="505"/>
      <c r="D123" s="186" t="s">
        <v>193</v>
      </c>
      <c r="E123" s="34">
        <v>4034</v>
      </c>
      <c r="F123" s="24">
        <v>796</v>
      </c>
      <c r="G123" s="24">
        <v>4000</v>
      </c>
      <c r="H123" s="24">
        <v>4000</v>
      </c>
      <c r="I123" s="327">
        <f t="shared" si="1"/>
        <v>0.199</v>
      </c>
    </row>
    <row r="124" spans="2:17" s="35" customFormat="1" ht="15.75" thickBot="1">
      <c r="B124" s="96" t="s">
        <v>72</v>
      </c>
      <c r="C124" s="435" t="s">
        <v>44</v>
      </c>
      <c r="D124" s="436"/>
      <c r="E124" s="41">
        <f>E125+E129</f>
        <v>4405952.43</v>
      </c>
      <c r="F124" s="41">
        <f>F125+F129</f>
        <v>4455752</v>
      </c>
      <c r="G124" s="41">
        <f>G125+G129</f>
        <v>4009556</v>
      </c>
      <c r="H124" s="41">
        <v>4277996</v>
      </c>
      <c r="I124" s="324">
        <f t="shared" si="1"/>
        <v>1.0415512309969435</v>
      </c>
      <c r="K124" s="242"/>
      <c r="Q124" s="242"/>
    </row>
    <row r="125" spans="2:19" s="193" customFormat="1" ht="13.5" thickBot="1">
      <c r="B125" s="527"/>
      <c r="C125" s="482" t="s">
        <v>45</v>
      </c>
      <c r="D125" s="483"/>
      <c r="E125" s="12">
        <f>SUM(E126:E128)</f>
        <v>30677</v>
      </c>
      <c r="F125" s="12">
        <f>SUM(F126:F128)</f>
        <v>31410</v>
      </c>
      <c r="G125" s="12">
        <f>SUM(G126:G128)</f>
        <v>33265</v>
      </c>
      <c r="H125" s="12">
        <v>33265</v>
      </c>
      <c r="I125" s="328">
        <f t="shared" si="1"/>
        <v>0.9442356831504585</v>
      </c>
      <c r="M125" s="259"/>
      <c r="N125" s="259"/>
      <c r="O125" s="259"/>
      <c r="P125" s="259"/>
      <c r="Q125" s="259"/>
      <c r="S125" s="260"/>
    </row>
    <row r="126" spans="2:11" ht="12.75">
      <c r="B126" s="514"/>
      <c r="C126" s="139">
        <v>610</v>
      </c>
      <c r="D126" s="40" t="s">
        <v>2</v>
      </c>
      <c r="E126" s="39">
        <v>19464</v>
      </c>
      <c r="F126" s="39">
        <f>19705+2543</f>
        <v>22248</v>
      </c>
      <c r="G126" s="39">
        <f>22220+800</f>
        <v>23020</v>
      </c>
      <c r="H126" s="39">
        <v>23020</v>
      </c>
      <c r="I126" s="325">
        <f t="shared" si="1"/>
        <v>0.9664639443961772</v>
      </c>
      <c r="K126" s="9"/>
    </row>
    <row r="127" spans="2:12" ht="12.75">
      <c r="B127" s="514"/>
      <c r="C127" s="120">
        <v>620</v>
      </c>
      <c r="D127" s="21" t="s">
        <v>3</v>
      </c>
      <c r="E127" s="22">
        <v>6869</v>
      </c>
      <c r="F127" s="22">
        <v>6877</v>
      </c>
      <c r="G127" s="22">
        <f>6060+300+1685</f>
        <v>8045</v>
      </c>
      <c r="H127" s="22">
        <v>8045</v>
      </c>
      <c r="I127" s="326">
        <f t="shared" si="1"/>
        <v>0.854816656308266</v>
      </c>
      <c r="J127" s="416"/>
      <c r="K127" s="9"/>
      <c r="L127" s="9"/>
    </row>
    <row r="128" spans="2:11" ht="13.5" thickBot="1">
      <c r="B128" s="514"/>
      <c r="C128" s="121">
        <v>630</v>
      </c>
      <c r="D128" s="23" t="s">
        <v>63</v>
      </c>
      <c r="E128" s="24">
        <f>4241+103</f>
        <v>4344</v>
      </c>
      <c r="F128" s="24">
        <f>4229-2166+222</f>
        <v>2285</v>
      </c>
      <c r="G128" s="24">
        <f>2390-190</f>
        <v>2200</v>
      </c>
      <c r="H128" s="24">
        <v>2200</v>
      </c>
      <c r="I128" s="327">
        <f t="shared" si="1"/>
        <v>1.0386363636363636</v>
      </c>
      <c r="K128" s="9"/>
    </row>
    <row r="129" spans="2:9" ht="13.5" thickBot="1">
      <c r="B129" s="514"/>
      <c r="C129" s="491" t="s">
        <v>162</v>
      </c>
      <c r="D129" s="492"/>
      <c r="E129" s="36">
        <f>SUM(E130:E135)</f>
        <v>4375275.43</v>
      </c>
      <c r="F129" s="36">
        <f>SUM(F130:F135)</f>
        <v>4424342</v>
      </c>
      <c r="G129" s="36">
        <f>SUM(G130:G135)</f>
        <v>3976291</v>
      </c>
      <c r="H129" s="36">
        <v>4244731</v>
      </c>
      <c r="I129" s="337">
        <f t="shared" si="1"/>
        <v>1.0423138710085516</v>
      </c>
    </row>
    <row r="130" spans="2:13" ht="12.75">
      <c r="B130" s="514"/>
      <c r="C130" s="484"/>
      <c r="D130" s="40" t="s">
        <v>251</v>
      </c>
      <c r="E130" s="39">
        <v>1958942</v>
      </c>
      <c r="F130" s="39">
        <f>1974099+15221+11259+14692+58423+5104+289+5555+35</f>
        <v>2084677</v>
      </c>
      <c r="G130" s="39">
        <v>1800000</v>
      </c>
      <c r="H130" s="39">
        <v>1936464</v>
      </c>
      <c r="I130" s="325">
        <f t="shared" si="1"/>
        <v>1.076537957844814</v>
      </c>
      <c r="M130" s="9"/>
    </row>
    <row r="131" spans="2:13" ht="12.75">
      <c r="B131" s="514"/>
      <c r="C131" s="485"/>
      <c r="D131" s="21" t="s">
        <v>252</v>
      </c>
      <c r="E131" s="22">
        <v>2134669.43</v>
      </c>
      <c r="F131" s="22">
        <v>2069302</v>
      </c>
      <c r="G131" s="22">
        <f>1776916+87557+300</f>
        <v>1864773</v>
      </c>
      <c r="H131" s="22">
        <v>2010433</v>
      </c>
      <c r="I131" s="326">
        <f t="shared" si="1"/>
        <v>1.0292817517420376</v>
      </c>
      <c r="J131" s="416"/>
      <c r="K131" s="9"/>
      <c r="M131" s="9"/>
    </row>
    <row r="132" spans="2:10" ht="12.75">
      <c r="B132" s="514"/>
      <c r="C132" s="485"/>
      <c r="D132" s="33" t="s">
        <v>283</v>
      </c>
      <c r="E132" s="34"/>
      <c r="F132" s="34">
        <v>2568</v>
      </c>
      <c r="G132" s="34">
        <v>2651</v>
      </c>
      <c r="H132" s="34">
        <v>4692</v>
      </c>
      <c r="I132" s="344">
        <f t="shared" si="1"/>
        <v>0.5473145780051151</v>
      </c>
      <c r="J132" s="416"/>
    </row>
    <row r="133" spans="2:11" ht="12.75">
      <c r="B133" s="514"/>
      <c r="C133" s="485"/>
      <c r="D133" s="33" t="s">
        <v>286</v>
      </c>
      <c r="E133" s="34"/>
      <c r="F133" s="34"/>
      <c r="G133" s="34">
        <v>30370</v>
      </c>
      <c r="H133" s="34">
        <v>15708</v>
      </c>
      <c r="I133" s="344">
        <f>IF(H133=0,0,F133/H133)</f>
        <v>0</v>
      </c>
      <c r="J133" s="259"/>
      <c r="K133" s="9"/>
    </row>
    <row r="134" spans="2:11" ht="12.75">
      <c r="B134" s="514"/>
      <c r="C134" s="485"/>
      <c r="D134" s="33" t="s">
        <v>285</v>
      </c>
      <c r="E134" s="34"/>
      <c r="F134" s="34">
        <v>2166</v>
      </c>
      <c r="G134" s="34">
        <v>24196</v>
      </c>
      <c r="H134" s="34">
        <v>11805</v>
      </c>
      <c r="I134" s="344">
        <f>IF(H134=0,0,F134/H134)</f>
        <v>0.18348157560355782</v>
      </c>
      <c r="J134" s="259"/>
      <c r="K134" s="9"/>
    </row>
    <row r="135" spans="2:13" ht="13.5" thickBot="1">
      <c r="B135" s="531"/>
      <c r="C135" s="486"/>
      <c r="D135" s="402" t="s">
        <v>218</v>
      </c>
      <c r="E135" s="403">
        <v>281664</v>
      </c>
      <c r="F135" s="403">
        <v>265629</v>
      </c>
      <c r="G135" s="403">
        <v>254301</v>
      </c>
      <c r="H135" s="403">
        <v>265629</v>
      </c>
      <c r="I135" s="404">
        <f>IF(H135=0,0,F135/H135)</f>
        <v>1</v>
      </c>
      <c r="J135" s="259"/>
      <c r="K135" s="9"/>
      <c r="M135" s="9"/>
    </row>
    <row r="136" spans="2:10" ht="13.5" customHeight="1" thickTop="1">
      <c r="B136" s="503" t="s">
        <v>60</v>
      </c>
      <c r="C136" s="487" t="s">
        <v>61</v>
      </c>
      <c r="D136" s="506" t="s">
        <v>62</v>
      </c>
      <c r="E136" s="467" t="s">
        <v>356</v>
      </c>
      <c r="F136" s="467" t="s">
        <v>355</v>
      </c>
      <c r="G136" s="467" t="s">
        <v>357</v>
      </c>
      <c r="H136" s="480" t="s">
        <v>305</v>
      </c>
      <c r="I136" s="528" t="s">
        <v>358</v>
      </c>
      <c r="J136" s="416"/>
    </row>
    <row r="137" spans="2:9" ht="24.75" customHeight="1" thickBot="1">
      <c r="B137" s="504"/>
      <c r="C137" s="488"/>
      <c r="D137" s="507"/>
      <c r="E137" s="468"/>
      <c r="F137" s="468"/>
      <c r="G137" s="468"/>
      <c r="H137" s="481"/>
      <c r="I137" s="529"/>
    </row>
    <row r="138" spans="2:9" s="35" customFormat="1" ht="16.5" thickBot="1" thickTop="1">
      <c r="B138" s="103" t="s">
        <v>69</v>
      </c>
      <c r="C138" s="435" t="s">
        <v>46</v>
      </c>
      <c r="D138" s="436"/>
      <c r="E138" s="41">
        <f>SUM(E139:E141)</f>
        <v>26012</v>
      </c>
      <c r="F138" s="41">
        <f>SUM(F139:F141)</f>
        <v>24167</v>
      </c>
      <c r="G138" s="41">
        <f>SUM(G139:G141)</f>
        <v>29488</v>
      </c>
      <c r="H138" s="41">
        <v>29488</v>
      </c>
      <c r="I138" s="324">
        <f aca="true" t="shared" si="2" ref="I138:I169">IF(H138=0,0,F138/H138)</f>
        <v>0.8195537167661422</v>
      </c>
    </row>
    <row r="139" spans="2:12" s="35" customFormat="1" ht="12.75" customHeight="1">
      <c r="B139" s="511"/>
      <c r="C139" s="139">
        <v>610</v>
      </c>
      <c r="D139" s="40" t="s">
        <v>2</v>
      </c>
      <c r="E139" s="39">
        <v>15911</v>
      </c>
      <c r="F139" s="39">
        <v>16639</v>
      </c>
      <c r="G139" s="39">
        <v>18887</v>
      </c>
      <c r="H139" s="39">
        <v>18887</v>
      </c>
      <c r="I139" s="325">
        <f t="shared" si="2"/>
        <v>0.8809763329274104</v>
      </c>
      <c r="J139" s="415"/>
      <c r="K139" s="8"/>
      <c r="L139" s="8"/>
    </row>
    <row r="140" spans="2:12" s="35" customFormat="1" ht="12.75" customHeight="1">
      <c r="B140" s="512"/>
      <c r="C140" s="120">
        <v>620</v>
      </c>
      <c r="D140" s="21" t="s">
        <v>3</v>
      </c>
      <c r="E140" s="22">
        <v>5689</v>
      </c>
      <c r="F140" s="22">
        <v>5822</v>
      </c>
      <c r="G140" s="22">
        <f>5151+1450</f>
        <v>6601</v>
      </c>
      <c r="H140" s="22">
        <v>6601</v>
      </c>
      <c r="I140" s="326">
        <f t="shared" si="2"/>
        <v>0.8819875776397516</v>
      </c>
      <c r="J140" s="416"/>
      <c r="K140" s="9"/>
      <c r="L140" s="9"/>
    </row>
    <row r="141" spans="2:9" ht="12.75" customHeight="1" thickBot="1">
      <c r="B141" s="513"/>
      <c r="C141" s="121">
        <v>630</v>
      </c>
      <c r="D141" s="23" t="s">
        <v>63</v>
      </c>
      <c r="E141" s="24">
        <f>4135+277</f>
        <v>4412</v>
      </c>
      <c r="F141" s="24">
        <v>1706</v>
      </c>
      <c r="G141" s="24">
        <f>4480-480</f>
        <v>4000</v>
      </c>
      <c r="H141" s="24">
        <v>4000</v>
      </c>
      <c r="I141" s="327">
        <f t="shared" si="2"/>
        <v>0.4265</v>
      </c>
    </row>
    <row r="142" spans="2:9" s="35" customFormat="1" ht="15.75" thickBot="1">
      <c r="B142" s="96" t="s">
        <v>74</v>
      </c>
      <c r="C142" s="435" t="s">
        <v>47</v>
      </c>
      <c r="D142" s="436"/>
      <c r="E142" s="41">
        <f>E143+E147</f>
        <v>48507</v>
      </c>
      <c r="F142" s="41">
        <f>F143+F147</f>
        <v>53865</v>
      </c>
      <c r="G142" s="41">
        <f>G143+G147</f>
        <v>53681</v>
      </c>
      <c r="H142" s="41">
        <v>53681</v>
      </c>
      <c r="I142" s="324">
        <f t="shared" si="2"/>
        <v>1.0034276559676607</v>
      </c>
    </row>
    <row r="143" spans="2:9" ht="13.5" thickBot="1">
      <c r="B143" s="527"/>
      <c r="C143" s="482" t="s">
        <v>48</v>
      </c>
      <c r="D143" s="483"/>
      <c r="E143" s="12">
        <f>SUM(E144:E146)</f>
        <v>47600</v>
      </c>
      <c r="F143" s="12">
        <f>SUM(F144:F146)</f>
        <v>53724</v>
      </c>
      <c r="G143" s="12">
        <f>SUM(G144:G146)</f>
        <v>51124</v>
      </c>
      <c r="H143" s="12">
        <v>51124</v>
      </c>
      <c r="I143" s="328">
        <f t="shared" si="2"/>
        <v>1.0508567404741413</v>
      </c>
    </row>
    <row r="144" spans="2:9" ht="12.75">
      <c r="B144" s="514"/>
      <c r="C144" s="139">
        <v>610</v>
      </c>
      <c r="D144" s="40" t="s">
        <v>2</v>
      </c>
      <c r="E144" s="39">
        <v>27320</v>
      </c>
      <c r="F144" s="39">
        <v>30945</v>
      </c>
      <c r="G144" s="39">
        <v>31108</v>
      </c>
      <c r="H144" s="39">
        <v>31108</v>
      </c>
      <c r="I144" s="325">
        <f t="shared" si="2"/>
        <v>0.9947601903047447</v>
      </c>
    </row>
    <row r="145" spans="2:12" ht="12.75">
      <c r="B145" s="514"/>
      <c r="C145" s="120">
        <v>620</v>
      </c>
      <c r="D145" s="21" t="s">
        <v>3</v>
      </c>
      <c r="E145" s="22">
        <v>10234</v>
      </c>
      <c r="F145" s="22">
        <v>11482</v>
      </c>
      <c r="G145" s="22">
        <f>8282+2590</f>
        <v>10872</v>
      </c>
      <c r="H145" s="22">
        <v>10872</v>
      </c>
      <c r="I145" s="326">
        <f t="shared" si="2"/>
        <v>1.0561074319352466</v>
      </c>
      <c r="J145" s="416"/>
      <c r="K145" s="9"/>
      <c r="L145" s="9"/>
    </row>
    <row r="146" spans="2:9" ht="13.5" thickBot="1">
      <c r="B146" s="514"/>
      <c r="C146" s="121">
        <v>630</v>
      </c>
      <c r="D146" s="23" t="s">
        <v>63</v>
      </c>
      <c r="E146" s="24">
        <f>9770+276</f>
        <v>10046</v>
      </c>
      <c r="F146" s="24">
        <f>11438-141</f>
        <v>11297</v>
      </c>
      <c r="G146" s="24">
        <v>9144</v>
      </c>
      <c r="H146" s="24">
        <v>9144</v>
      </c>
      <c r="I146" s="327">
        <f t="shared" si="2"/>
        <v>1.2354549431321085</v>
      </c>
    </row>
    <row r="147" spans="2:9" ht="13.5" thickBot="1">
      <c r="B147" s="514"/>
      <c r="C147" s="491" t="s">
        <v>49</v>
      </c>
      <c r="D147" s="492"/>
      <c r="E147" s="163">
        <f>E148</f>
        <v>907</v>
      </c>
      <c r="F147" s="163">
        <f>F148</f>
        <v>141</v>
      </c>
      <c r="G147" s="163">
        <f>G148</f>
        <v>2557</v>
      </c>
      <c r="H147" s="163">
        <v>2557</v>
      </c>
      <c r="I147" s="329">
        <f t="shared" si="2"/>
        <v>0.055142745404771216</v>
      </c>
    </row>
    <row r="148" spans="2:9" ht="13.5" thickBot="1">
      <c r="B148" s="515"/>
      <c r="C148" s="418">
        <v>630</v>
      </c>
      <c r="D148" s="23" t="s">
        <v>63</v>
      </c>
      <c r="E148" s="24">
        <v>907</v>
      </c>
      <c r="F148" s="24">
        <v>141</v>
      </c>
      <c r="G148" s="24">
        <v>2557</v>
      </c>
      <c r="H148" s="24">
        <v>2557</v>
      </c>
      <c r="I148" s="327">
        <f t="shared" si="2"/>
        <v>0.055142745404771216</v>
      </c>
    </row>
    <row r="149" spans="2:9" s="37" customFormat="1" ht="15.75" thickBot="1">
      <c r="B149" s="244" t="s">
        <v>75</v>
      </c>
      <c r="C149" s="455" t="s">
        <v>76</v>
      </c>
      <c r="D149" s="456"/>
      <c r="E149" s="95">
        <f>SUM(E150:E153)</f>
        <v>141455</v>
      </c>
      <c r="F149" s="95">
        <f>SUM(F150:F153)</f>
        <v>157876</v>
      </c>
      <c r="G149" s="95">
        <f>SUM(G150:G153)</f>
        <v>153747</v>
      </c>
      <c r="H149" s="95">
        <v>153747</v>
      </c>
      <c r="I149" s="330">
        <f t="shared" si="2"/>
        <v>1.0268558085686226</v>
      </c>
    </row>
    <row r="150" spans="2:9" ht="12.75">
      <c r="B150" s="527"/>
      <c r="C150" s="119">
        <v>610</v>
      </c>
      <c r="D150" s="19" t="s">
        <v>2</v>
      </c>
      <c r="E150" s="20">
        <v>93395</v>
      </c>
      <c r="F150" s="20">
        <v>102238</v>
      </c>
      <c r="G150" s="20">
        <v>108171</v>
      </c>
      <c r="H150" s="20">
        <v>102671</v>
      </c>
      <c r="I150" s="331">
        <f t="shared" si="2"/>
        <v>0.9957826455376884</v>
      </c>
    </row>
    <row r="151" spans="2:12" ht="12.75">
      <c r="B151" s="514"/>
      <c r="C151" s="120">
        <v>620</v>
      </c>
      <c r="D151" s="21" t="s">
        <v>3</v>
      </c>
      <c r="E151" s="22">
        <v>32056</v>
      </c>
      <c r="F151" s="22">
        <v>35361</v>
      </c>
      <c r="G151" s="22">
        <f>27068+10738</f>
        <v>37806</v>
      </c>
      <c r="H151" s="22">
        <v>35806</v>
      </c>
      <c r="I151" s="326">
        <f t="shared" si="2"/>
        <v>0.9875719153214545</v>
      </c>
      <c r="J151" s="416"/>
      <c r="K151" s="9"/>
      <c r="L151" s="9"/>
    </row>
    <row r="152" spans="2:9" ht="13.5" thickBot="1">
      <c r="B152" s="514"/>
      <c r="C152" s="121">
        <v>630</v>
      </c>
      <c r="D152" s="23" t="s">
        <v>63</v>
      </c>
      <c r="E152" s="24">
        <f>15369+300</f>
        <v>15669</v>
      </c>
      <c r="F152" s="24">
        <f>20056+221-800</f>
        <v>19477</v>
      </c>
      <c r="G152" s="24">
        <f>7770-800</f>
        <v>6970</v>
      </c>
      <c r="H152" s="24">
        <v>14470</v>
      </c>
      <c r="I152" s="327">
        <f t="shared" si="2"/>
        <v>1.3460262612301312</v>
      </c>
    </row>
    <row r="153" spans="2:9" ht="13.5" thickBot="1">
      <c r="B153" s="515"/>
      <c r="C153" s="129">
        <v>630</v>
      </c>
      <c r="D153" s="186" t="s">
        <v>253</v>
      </c>
      <c r="E153" s="185">
        <v>335</v>
      </c>
      <c r="F153" s="185">
        <v>800</v>
      </c>
      <c r="G153" s="185">
        <v>800</v>
      </c>
      <c r="H153" s="185">
        <v>800</v>
      </c>
      <c r="I153" s="332">
        <f t="shared" si="2"/>
        <v>1</v>
      </c>
    </row>
    <row r="154" spans="2:9" s="37" customFormat="1" ht="15.75" thickBot="1">
      <c r="B154" s="187" t="s">
        <v>50</v>
      </c>
      <c r="C154" s="455" t="s">
        <v>77</v>
      </c>
      <c r="D154" s="456"/>
      <c r="E154" s="95">
        <f>SUM(E155:E157)</f>
        <v>45381</v>
      </c>
      <c r="F154" s="95">
        <f>SUM(F155:F157)</f>
        <v>47758</v>
      </c>
      <c r="G154" s="95">
        <f>SUM(G155:G157)</f>
        <v>48989</v>
      </c>
      <c r="H154" s="95">
        <v>48989</v>
      </c>
      <c r="I154" s="330">
        <f t="shared" si="2"/>
        <v>0.9748719100206169</v>
      </c>
    </row>
    <row r="155" spans="2:12" s="37" customFormat="1" ht="12.75" customHeight="1">
      <c r="B155" s="524"/>
      <c r="C155" s="119">
        <v>610</v>
      </c>
      <c r="D155" s="19" t="s">
        <v>2</v>
      </c>
      <c r="E155" s="20">
        <v>27938</v>
      </c>
      <c r="F155" s="20">
        <v>29205</v>
      </c>
      <c r="G155" s="20">
        <v>29492</v>
      </c>
      <c r="H155" s="20">
        <v>29492</v>
      </c>
      <c r="I155" s="331">
        <f t="shared" si="2"/>
        <v>0.9902685474026854</v>
      </c>
      <c r="J155" s="415"/>
      <c r="K155" s="8"/>
      <c r="L155" s="8"/>
    </row>
    <row r="156" spans="2:12" s="37" customFormat="1" ht="12.75" customHeight="1">
      <c r="B156" s="525"/>
      <c r="C156" s="120">
        <v>620</v>
      </c>
      <c r="D156" s="21" t="s">
        <v>3</v>
      </c>
      <c r="E156" s="22">
        <v>10190</v>
      </c>
      <c r="F156" s="22">
        <v>10431</v>
      </c>
      <c r="G156" s="22">
        <f>8282+2025</f>
        <v>10307</v>
      </c>
      <c r="H156" s="22">
        <v>10307</v>
      </c>
      <c r="I156" s="326">
        <f t="shared" si="2"/>
        <v>1.0120306587755894</v>
      </c>
      <c r="J156" s="416"/>
      <c r="K156" s="9"/>
      <c r="L156" s="9"/>
    </row>
    <row r="157" spans="2:9" s="37" customFormat="1" ht="12.75" customHeight="1" thickBot="1">
      <c r="B157" s="526"/>
      <c r="C157" s="121">
        <v>630</v>
      </c>
      <c r="D157" s="23" t="s">
        <v>63</v>
      </c>
      <c r="E157" s="24">
        <f>7169+84</f>
        <v>7253</v>
      </c>
      <c r="F157" s="24">
        <f>7844+278</f>
        <v>8122</v>
      </c>
      <c r="G157" s="24">
        <v>9190</v>
      </c>
      <c r="H157" s="24">
        <v>9190</v>
      </c>
      <c r="I157" s="327">
        <f t="shared" si="2"/>
        <v>0.8837867247007617</v>
      </c>
    </row>
    <row r="158" spans="1:10" s="35" customFormat="1" ht="30.75" customHeight="1" thickBot="1">
      <c r="A158" s="417"/>
      <c r="B158" s="188" t="s">
        <v>51</v>
      </c>
      <c r="C158" s="522" t="s">
        <v>73</v>
      </c>
      <c r="D158" s="523"/>
      <c r="E158" s="321">
        <f>E159+E163</f>
        <v>119794</v>
      </c>
      <c r="F158" s="321">
        <f>F159+F163</f>
        <v>122484</v>
      </c>
      <c r="G158" s="321">
        <f>G159+G163</f>
        <v>128700</v>
      </c>
      <c r="H158" s="321">
        <v>128700</v>
      </c>
      <c r="I158" s="333">
        <f t="shared" si="2"/>
        <v>0.9517016317016317</v>
      </c>
      <c r="J158" s="417"/>
    </row>
    <row r="159" spans="1:9" s="35" customFormat="1" ht="12.75" customHeight="1" thickBot="1">
      <c r="A159" s="417"/>
      <c r="B159" s="520"/>
      <c r="C159" s="516" t="s">
        <v>52</v>
      </c>
      <c r="D159" s="517"/>
      <c r="E159" s="216">
        <f>SUM(E160:E162)</f>
        <v>67096</v>
      </c>
      <c r="F159" s="216">
        <f>SUM(F160:F162)</f>
        <v>63788</v>
      </c>
      <c r="G159" s="216">
        <f>SUM(G160:G162)</f>
        <v>66460</v>
      </c>
      <c r="H159" s="216">
        <v>66460</v>
      </c>
      <c r="I159" s="334">
        <f t="shared" si="2"/>
        <v>0.9597953656334638</v>
      </c>
    </row>
    <row r="160" spans="2:12" s="35" customFormat="1" ht="12.75" customHeight="1">
      <c r="B160" s="521"/>
      <c r="C160" s="139">
        <v>610</v>
      </c>
      <c r="D160" s="40" t="s">
        <v>2</v>
      </c>
      <c r="E160" s="322">
        <v>43567</v>
      </c>
      <c r="F160" s="322">
        <v>42257</v>
      </c>
      <c r="G160" s="322">
        <v>47773</v>
      </c>
      <c r="H160" s="322">
        <v>47773</v>
      </c>
      <c r="I160" s="335">
        <f t="shared" si="2"/>
        <v>0.8845372909383962</v>
      </c>
      <c r="J160" s="415"/>
      <c r="K160" s="8"/>
      <c r="L160" s="8"/>
    </row>
    <row r="161" spans="2:12" s="35" customFormat="1" ht="12.75" customHeight="1">
      <c r="B161" s="521"/>
      <c r="C161" s="120">
        <v>620</v>
      </c>
      <c r="D161" s="21" t="s">
        <v>3</v>
      </c>
      <c r="E161" s="323">
        <v>14529</v>
      </c>
      <c r="F161" s="323">
        <v>14713</v>
      </c>
      <c r="G161" s="323">
        <f>11918+4779</f>
        <v>16697</v>
      </c>
      <c r="H161" s="323">
        <v>16697</v>
      </c>
      <c r="I161" s="336">
        <f t="shared" si="2"/>
        <v>0.881176259208241</v>
      </c>
      <c r="J161" s="416"/>
      <c r="K161" s="9"/>
      <c r="L161" s="9"/>
    </row>
    <row r="162" spans="2:9" ht="13.5" thickBot="1">
      <c r="B162" s="521"/>
      <c r="C162" s="121">
        <v>630</v>
      </c>
      <c r="D162" s="23" t="s">
        <v>63</v>
      </c>
      <c r="E162" s="24">
        <f>8908+92</f>
        <v>9000</v>
      </c>
      <c r="F162" s="24">
        <f>6738+80</f>
        <v>6818</v>
      </c>
      <c r="G162" s="24">
        <v>1990</v>
      </c>
      <c r="H162" s="24">
        <v>1990</v>
      </c>
      <c r="I162" s="327">
        <f t="shared" si="2"/>
        <v>3.426130653266332</v>
      </c>
    </row>
    <row r="163" spans="2:9" ht="13.5" thickBot="1">
      <c r="B163" s="521"/>
      <c r="C163" s="491" t="s">
        <v>187</v>
      </c>
      <c r="D163" s="492"/>
      <c r="E163" s="36">
        <f>SUM(E164:E168)</f>
        <v>52698</v>
      </c>
      <c r="F163" s="36">
        <f>SUM(F164:F168)</f>
        <v>58696</v>
      </c>
      <c r="G163" s="36">
        <f>SUM(G164:G168)</f>
        <v>62240</v>
      </c>
      <c r="H163" s="36">
        <v>62240</v>
      </c>
      <c r="I163" s="337">
        <f t="shared" si="2"/>
        <v>0.9430591259640103</v>
      </c>
    </row>
    <row r="164" spans="2:9" ht="12.75">
      <c r="B164" s="521"/>
      <c r="C164" s="419"/>
      <c r="D164" s="107" t="s">
        <v>53</v>
      </c>
      <c r="E164" s="39">
        <v>9825</v>
      </c>
      <c r="F164" s="39">
        <v>8992</v>
      </c>
      <c r="G164" s="39">
        <v>6310</v>
      </c>
      <c r="H164" s="39">
        <v>6310</v>
      </c>
      <c r="I164" s="325">
        <f t="shared" si="2"/>
        <v>1.425039619651347</v>
      </c>
    </row>
    <row r="165" spans="2:9" ht="12.75">
      <c r="B165" s="521"/>
      <c r="C165" s="420"/>
      <c r="D165" s="31" t="s">
        <v>237</v>
      </c>
      <c r="E165" s="22"/>
      <c r="F165" s="22"/>
      <c r="G165" s="22">
        <v>2490</v>
      </c>
      <c r="H165" s="22">
        <v>2490</v>
      </c>
      <c r="I165" s="326">
        <f t="shared" si="2"/>
        <v>0</v>
      </c>
    </row>
    <row r="166" spans="2:9" ht="12.75">
      <c r="B166" s="521"/>
      <c r="C166" s="420">
        <v>630</v>
      </c>
      <c r="D166" s="31" t="s">
        <v>54</v>
      </c>
      <c r="E166" s="22">
        <v>27587</v>
      </c>
      <c r="F166" s="22">
        <v>32586</v>
      </c>
      <c r="G166" s="22">
        <v>36510</v>
      </c>
      <c r="H166" s="22">
        <v>36510</v>
      </c>
      <c r="I166" s="326">
        <f t="shared" si="2"/>
        <v>0.8925225965488908</v>
      </c>
    </row>
    <row r="167" spans="2:10" ht="12.75">
      <c r="B167" s="521"/>
      <c r="C167" s="420">
        <v>630</v>
      </c>
      <c r="D167" s="31" t="s">
        <v>55</v>
      </c>
      <c r="E167" s="22">
        <v>15206</v>
      </c>
      <c r="F167" s="22">
        <v>16849</v>
      </c>
      <c r="G167" s="22">
        <v>16600</v>
      </c>
      <c r="H167" s="22">
        <v>16600</v>
      </c>
      <c r="I167" s="326">
        <f t="shared" si="2"/>
        <v>1.015</v>
      </c>
      <c r="J167" s="416"/>
    </row>
    <row r="168" spans="2:9" ht="13.5" thickBot="1">
      <c r="B168" s="521"/>
      <c r="C168" s="420">
        <v>630</v>
      </c>
      <c r="D168" s="31" t="s">
        <v>56</v>
      </c>
      <c r="E168" s="22">
        <v>80</v>
      </c>
      <c r="F168" s="22">
        <v>269</v>
      </c>
      <c r="G168" s="22">
        <v>330</v>
      </c>
      <c r="H168" s="22">
        <v>330</v>
      </c>
      <c r="I168" s="326">
        <f t="shared" si="2"/>
        <v>0.8151515151515152</v>
      </c>
    </row>
    <row r="169" spans="2:9" s="38" customFormat="1" ht="17.25" thickBot="1" thickTop="1">
      <c r="B169" s="104"/>
      <c r="C169" s="153"/>
      <c r="D169" s="105" t="s">
        <v>59</v>
      </c>
      <c r="E169" s="106">
        <f>E4+E11+E14+E23+E25+E27+E32+E34+E38+E44+E50+E62+E69+E73+E77+E81+E96+E98+E103+E106+E116+E119+E124+E138+E142+E149+E154+E158+E100+E18+E40</f>
        <v>8716285.43</v>
      </c>
      <c r="F169" s="106">
        <f>F4+F11+F14+F23+F25+F27+F32+F34+F38+F44+F50+F62+F69+F73+F77+F81+F96+F98+F103+F106+F116+F119+F124+F138+F142+F149+F154+F158+F100+F18+F40</f>
        <v>9309387</v>
      </c>
      <c r="G169" s="106">
        <f>G4+G11+G14+G23+G25+G27+G32+G34+G38+G44+G50+G62+G69+G73+G77+G81+G96+G98+G103+G106+G116+G119+G124+G138+G142+G149+G154+G158+G100+G18+G40</f>
        <v>8537009</v>
      </c>
      <c r="H169" s="106">
        <v>9227016</v>
      </c>
      <c r="I169" s="338">
        <f t="shared" si="2"/>
        <v>1.008927154781134</v>
      </c>
    </row>
    <row r="170" ht="13.5" hidden="1" thickTop="1">
      <c r="F170" s="422"/>
    </row>
    <row r="171" spans="5:10" ht="13.5" thickTop="1">
      <c r="E171" s="416"/>
      <c r="F171" s="416"/>
      <c r="G171" s="416"/>
      <c r="H171" s="7"/>
      <c r="J171" s="416"/>
    </row>
    <row r="172" spans="8:10" ht="12.75">
      <c r="H172" s="259"/>
      <c r="J172" s="416"/>
    </row>
    <row r="173" spans="5:6" ht="12.75">
      <c r="E173" s="416"/>
      <c r="F173" s="416"/>
    </row>
    <row r="174" ht="12.75">
      <c r="F174" s="416"/>
    </row>
    <row r="175" spans="2:8" ht="12.75">
      <c r="B175" s="18"/>
      <c r="C175" s="140"/>
      <c r="D175" s="18"/>
      <c r="E175" s="251"/>
      <c r="F175" s="18"/>
      <c r="G175" s="18"/>
      <c r="H175" s="18"/>
    </row>
    <row r="176" spans="5:6" ht="12.75">
      <c r="E176" s="416"/>
      <c r="F176" s="416"/>
    </row>
  </sheetData>
  <sheetProtection/>
  <mergeCells count="91">
    <mergeCell ref="K2:K3"/>
    <mergeCell ref="C18:D18"/>
    <mergeCell ref="B41:B43"/>
    <mergeCell ref="B19:B22"/>
    <mergeCell ref="C34:D34"/>
    <mergeCell ref="C32:D32"/>
    <mergeCell ref="H2:H3"/>
    <mergeCell ref="B2:B3"/>
    <mergeCell ref="C2:C3"/>
    <mergeCell ref="E2:E3"/>
    <mergeCell ref="I136:I137"/>
    <mergeCell ref="B1:I1"/>
    <mergeCell ref="I2:I3"/>
    <mergeCell ref="F2:F3"/>
    <mergeCell ref="G2:G3"/>
    <mergeCell ref="I67:I68"/>
    <mergeCell ref="F67:F68"/>
    <mergeCell ref="D136:D137"/>
    <mergeCell ref="B125:B135"/>
    <mergeCell ref="B107:B115"/>
    <mergeCell ref="C77:D77"/>
    <mergeCell ref="C62:D62"/>
    <mergeCell ref="C73:D73"/>
    <mergeCell ref="B159:B168"/>
    <mergeCell ref="C163:D163"/>
    <mergeCell ref="C158:D158"/>
    <mergeCell ref="B155:B157"/>
    <mergeCell ref="B150:B153"/>
    <mergeCell ref="C149:D149"/>
    <mergeCell ref="B143:B148"/>
    <mergeCell ref="C159:D159"/>
    <mergeCell ref="C142:D142"/>
    <mergeCell ref="C143:D143"/>
    <mergeCell ref="C154:D154"/>
    <mergeCell ref="C147:D147"/>
    <mergeCell ref="B139:B141"/>
    <mergeCell ref="C138:D138"/>
    <mergeCell ref="C116:D116"/>
    <mergeCell ref="B104:B105"/>
    <mergeCell ref="B117:B118"/>
    <mergeCell ref="C119:D119"/>
    <mergeCell ref="B120:B123"/>
    <mergeCell ref="C106:D106"/>
    <mergeCell ref="B51:B61"/>
    <mergeCell ref="B35:B37"/>
    <mergeCell ref="C11:D11"/>
    <mergeCell ref="D2:D3"/>
    <mergeCell ref="C44:D44"/>
    <mergeCell ref="C40:D40"/>
    <mergeCell ref="C50:D50"/>
    <mergeCell ref="C38:D38"/>
    <mergeCell ref="B45:B49"/>
    <mergeCell ref="C25:D25"/>
    <mergeCell ref="C27:D27"/>
    <mergeCell ref="C4:D4"/>
    <mergeCell ref="B74:B76"/>
    <mergeCell ref="B15:B17"/>
    <mergeCell ref="B5:B10"/>
    <mergeCell ref="B12:B13"/>
    <mergeCell ref="C14:D14"/>
    <mergeCell ref="C23:D23"/>
    <mergeCell ref="B28:B31"/>
    <mergeCell ref="B63:B65"/>
    <mergeCell ref="C51:D51"/>
    <mergeCell ref="B136:B137"/>
    <mergeCell ref="C120:C123"/>
    <mergeCell ref="H67:H68"/>
    <mergeCell ref="E67:E68"/>
    <mergeCell ref="B67:B68"/>
    <mergeCell ref="C67:C68"/>
    <mergeCell ref="D67:D68"/>
    <mergeCell ref="G67:G68"/>
    <mergeCell ref="B70:B72"/>
    <mergeCell ref="C69:D69"/>
    <mergeCell ref="C129:D129"/>
    <mergeCell ref="B101:B102"/>
    <mergeCell ref="B78:B80"/>
    <mergeCell ref="C98:D98"/>
    <mergeCell ref="B82:B95"/>
    <mergeCell ref="C96:D96"/>
    <mergeCell ref="C81:D81"/>
    <mergeCell ref="C103:D103"/>
    <mergeCell ref="C100:D100"/>
    <mergeCell ref="H136:H137"/>
    <mergeCell ref="E136:E137"/>
    <mergeCell ref="C124:D124"/>
    <mergeCell ref="C125:D125"/>
    <mergeCell ref="C130:C135"/>
    <mergeCell ref="C136:C137"/>
    <mergeCell ref="F136:F137"/>
    <mergeCell ref="G136:G137"/>
  </mergeCells>
  <conditionalFormatting sqref="I181:I65536">
    <cfRule type="cellIs" priority="1" dxfId="0" operator="greaterThan" stopIfTrue="1">
      <formula>1</formula>
    </cfRule>
  </conditionalFormatting>
  <printOptions/>
  <pageMargins left="0.29" right="0.25" top="0.27" bottom="0.16" header="0.27" footer="0.16"/>
  <pageSetup horizontalDpi="300" verticalDpi="300" orientation="portrait" paperSize="9" scale="84" r:id="rId1"/>
  <rowBreaks count="2" manualBreakCount="2">
    <brk id="66" max="255" man="1"/>
    <brk id="135" max="255" man="1"/>
  </rowBreaks>
  <ignoredErrors>
    <ignoredError sqref="C63:C65 C71" numberStoredAsText="1"/>
    <ignoredError sqref="B40 B44 B11 B98 B14" twoDigitTextYear="1"/>
    <ignoredError sqref="H66" formula="1"/>
    <ignoredError sqref="E4 E50:I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L42"/>
  <sheetViews>
    <sheetView showGridLines="0" zoomScalePageLayoutView="0" workbookViewId="0" topLeftCell="A28">
      <selection activeCell="F40" sqref="F40"/>
    </sheetView>
  </sheetViews>
  <sheetFormatPr defaultColWidth="9.140625" defaultRowHeight="12.75"/>
  <cols>
    <col min="1" max="1" width="0.13671875" style="0" customWidth="1"/>
    <col min="3" max="3" width="7.7109375" style="116" customWidth="1"/>
    <col min="4" max="4" width="32.00390625" style="0" customWidth="1"/>
    <col min="5" max="5" width="12.8515625" style="412" customWidth="1"/>
    <col min="6" max="6" width="12.28125" style="412" customWidth="1"/>
    <col min="7" max="7" width="12.7109375" style="412" customWidth="1"/>
    <col min="8" max="8" width="13.00390625" style="412" customWidth="1"/>
    <col min="9" max="9" width="11.421875" style="412" customWidth="1"/>
  </cols>
  <sheetData>
    <row r="1" spans="2:9" ht="12.75">
      <c r="B1" s="42" t="s">
        <v>139</v>
      </c>
      <c r="E1" s="423"/>
      <c r="F1" s="423"/>
      <c r="G1" s="423"/>
      <c r="H1" s="423"/>
      <c r="I1" s="423"/>
    </row>
    <row r="2" spans="2:9" ht="13.5" thickBot="1">
      <c r="B2" s="42" t="s">
        <v>140</v>
      </c>
      <c r="E2" s="423"/>
      <c r="F2" s="423"/>
      <c r="G2" s="423"/>
      <c r="H2" s="423"/>
      <c r="I2" s="423"/>
    </row>
    <row r="3" spans="2:9" ht="13.5" customHeight="1" thickTop="1">
      <c r="B3" s="469" t="s">
        <v>114</v>
      </c>
      <c r="C3" s="471" t="s">
        <v>61</v>
      </c>
      <c r="D3" s="467" t="s">
        <v>129</v>
      </c>
      <c r="E3" s="467" t="s">
        <v>356</v>
      </c>
      <c r="F3" s="467" t="s">
        <v>355</v>
      </c>
      <c r="G3" s="467" t="s">
        <v>357</v>
      </c>
      <c r="H3" s="480" t="s">
        <v>305</v>
      </c>
      <c r="I3" s="528" t="s">
        <v>358</v>
      </c>
    </row>
    <row r="4" spans="2:9" ht="25.5" customHeight="1" thickBot="1">
      <c r="B4" s="470"/>
      <c r="C4" s="472"/>
      <c r="D4" s="468"/>
      <c r="E4" s="468"/>
      <c r="F4" s="468"/>
      <c r="G4" s="468"/>
      <c r="H4" s="481"/>
      <c r="I4" s="529"/>
    </row>
    <row r="5" spans="2:9" s="66" customFormat="1" ht="17.25" thickBot="1" thickTop="1">
      <c r="B5" s="147">
        <v>200</v>
      </c>
      <c r="C5" s="475" t="s">
        <v>121</v>
      </c>
      <c r="D5" s="476"/>
      <c r="E5" s="243">
        <f>E6</f>
        <v>1090339</v>
      </c>
      <c r="F5" s="243">
        <f>F6</f>
        <v>496614</v>
      </c>
      <c r="G5" s="243">
        <f>G6</f>
        <v>335221</v>
      </c>
      <c r="H5" s="358">
        <v>364250</v>
      </c>
      <c r="I5" s="351">
        <f>IF(H5=0,0,F5/H5)</f>
        <v>1.3633877831159917</v>
      </c>
    </row>
    <row r="6" spans="2:9" s="47" customFormat="1" ht="15.75" thickBot="1">
      <c r="B6" s="148">
        <v>230</v>
      </c>
      <c r="C6" s="435" t="s">
        <v>130</v>
      </c>
      <c r="D6" s="436"/>
      <c r="E6" s="41">
        <f>E7+E10</f>
        <v>1090339</v>
      </c>
      <c r="F6" s="41">
        <f>F7+F10</f>
        <v>496614</v>
      </c>
      <c r="G6" s="41">
        <f>G7+G10</f>
        <v>335221</v>
      </c>
      <c r="H6" s="310">
        <v>364250</v>
      </c>
      <c r="I6" s="282">
        <f aca="true" t="shared" si="0" ref="I6:I38">IF(H6=0,0,F6/H6)</f>
        <v>1.3633877831159917</v>
      </c>
    </row>
    <row r="7" spans="2:9" s="55" customFormat="1" ht="13.5" thickBot="1">
      <c r="B7" s="442"/>
      <c r="C7" s="115">
        <v>231</v>
      </c>
      <c r="D7" s="46" t="s">
        <v>136</v>
      </c>
      <c r="E7" s="3">
        <f>SUM(E8:E9)</f>
        <v>45397</v>
      </c>
      <c r="F7" s="3">
        <f>SUM(F8:F9)</f>
        <v>103200</v>
      </c>
      <c r="G7" s="3">
        <f>SUM(G8:G9)</f>
        <v>331901</v>
      </c>
      <c r="H7" s="311">
        <v>0</v>
      </c>
      <c r="I7" s="283">
        <f t="shared" si="0"/>
        <v>0</v>
      </c>
    </row>
    <row r="8" spans="2:9" ht="12.75">
      <c r="B8" s="443"/>
      <c r="C8" s="437"/>
      <c r="D8" s="87" t="s">
        <v>131</v>
      </c>
      <c r="E8" s="72">
        <v>45397</v>
      </c>
      <c r="F8" s="72">
        <v>103200</v>
      </c>
      <c r="G8" s="72">
        <f>231901+100000</f>
        <v>331901</v>
      </c>
      <c r="H8" s="307">
        <v>0</v>
      </c>
      <c r="I8" s="279">
        <f t="shared" si="0"/>
        <v>0</v>
      </c>
    </row>
    <row r="9" spans="2:9" ht="13.5" thickBot="1">
      <c r="B9" s="443"/>
      <c r="C9" s="438"/>
      <c r="D9" s="79" t="s">
        <v>132</v>
      </c>
      <c r="E9" s="61"/>
      <c r="F9" s="61"/>
      <c r="G9" s="61"/>
      <c r="H9" s="308">
        <v>0</v>
      </c>
      <c r="I9" s="280">
        <f t="shared" si="0"/>
        <v>0</v>
      </c>
    </row>
    <row r="10" spans="2:9" ht="13.5" thickBot="1">
      <c r="B10" s="443"/>
      <c r="C10" s="141">
        <v>233</v>
      </c>
      <c r="D10" s="2" t="s">
        <v>137</v>
      </c>
      <c r="E10" s="3">
        <f>SUM(E11:E13)</f>
        <v>1044942</v>
      </c>
      <c r="F10" s="3">
        <f>SUM(F11:F13)</f>
        <v>393414</v>
      </c>
      <c r="G10" s="3">
        <f>SUM(G11:G13)</f>
        <v>3320</v>
      </c>
      <c r="H10" s="311">
        <v>364250</v>
      </c>
      <c r="I10" s="283">
        <f t="shared" si="0"/>
        <v>1.0800658888126287</v>
      </c>
    </row>
    <row r="11" spans="2:9" ht="12.75">
      <c r="B11" s="443"/>
      <c r="C11" s="437"/>
      <c r="D11" s="75" t="s">
        <v>133</v>
      </c>
      <c r="E11" s="57">
        <v>98695</v>
      </c>
      <c r="F11" s="57">
        <v>393414</v>
      </c>
      <c r="G11" s="57">
        <v>3320</v>
      </c>
      <c r="H11" s="302">
        <v>364250</v>
      </c>
      <c r="I11" s="274">
        <f t="shared" si="0"/>
        <v>1.0800658888126287</v>
      </c>
    </row>
    <row r="12" spans="2:9" ht="12.75">
      <c r="B12" s="443"/>
      <c r="C12" s="454"/>
      <c r="D12" s="4" t="s">
        <v>269</v>
      </c>
      <c r="E12" s="1">
        <v>946247</v>
      </c>
      <c r="F12" s="1"/>
      <c r="G12" s="1"/>
      <c r="H12" s="359">
        <v>0</v>
      </c>
      <c r="I12" s="352">
        <f t="shared" si="0"/>
        <v>0</v>
      </c>
    </row>
    <row r="13" spans="2:9" ht="13.5" thickBot="1">
      <c r="B13" s="443"/>
      <c r="C13" s="438"/>
      <c r="D13" s="79" t="s">
        <v>206</v>
      </c>
      <c r="E13" s="61"/>
      <c r="F13" s="61"/>
      <c r="G13" s="61"/>
      <c r="H13" s="308">
        <v>0</v>
      </c>
      <c r="I13" s="280">
        <f t="shared" si="0"/>
        <v>0</v>
      </c>
    </row>
    <row r="14" spans="2:9" s="81" customFormat="1" ht="16.5" thickBot="1">
      <c r="B14" s="149">
        <v>300</v>
      </c>
      <c r="C14" s="473" t="s">
        <v>124</v>
      </c>
      <c r="D14" s="474"/>
      <c r="E14" s="88">
        <f>E15+E34</f>
        <v>3301074</v>
      </c>
      <c r="F14" s="88">
        <f>F15+F34</f>
        <v>2959527</v>
      </c>
      <c r="G14" s="88">
        <f>G15+G34</f>
        <v>4391876</v>
      </c>
      <c r="H14" s="360">
        <v>5555356</v>
      </c>
      <c r="I14" s="353">
        <f t="shared" si="0"/>
        <v>0.5327339958051294</v>
      </c>
    </row>
    <row r="15" spans="2:9" s="47" customFormat="1" ht="15.75" thickBot="1">
      <c r="B15" s="148">
        <v>320</v>
      </c>
      <c r="C15" s="435" t="s">
        <v>134</v>
      </c>
      <c r="D15" s="436"/>
      <c r="E15" s="89">
        <f>E16</f>
        <v>3301074</v>
      </c>
      <c r="F15" s="89">
        <f>F16</f>
        <v>2959527</v>
      </c>
      <c r="G15" s="89">
        <f>G16</f>
        <v>4391876</v>
      </c>
      <c r="H15" s="361">
        <v>5555356</v>
      </c>
      <c r="I15" s="354">
        <f t="shared" si="0"/>
        <v>0.5327339958051294</v>
      </c>
    </row>
    <row r="16" spans="2:9" s="55" customFormat="1" ht="13.5" thickBot="1">
      <c r="B16" s="535"/>
      <c r="C16" s="115">
        <v>321</v>
      </c>
      <c r="D16" s="46" t="s">
        <v>126</v>
      </c>
      <c r="E16" s="74">
        <v>3301074</v>
      </c>
      <c r="F16" s="74">
        <f>SUM(F17:F33)</f>
        <v>2959527</v>
      </c>
      <c r="G16" s="74">
        <f>SUM(G17:G33)</f>
        <v>4391876</v>
      </c>
      <c r="H16" s="306">
        <v>5555356</v>
      </c>
      <c r="I16" s="278">
        <f t="shared" si="0"/>
        <v>0.5327339958051294</v>
      </c>
    </row>
    <row r="17" spans="2:9" ht="12.75">
      <c r="B17" s="536"/>
      <c r="C17" s="437"/>
      <c r="D17" s="83" t="s">
        <v>273</v>
      </c>
      <c r="E17" s="62"/>
      <c r="F17" s="62">
        <v>341897</v>
      </c>
      <c r="G17" s="62">
        <v>341897</v>
      </c>
      <c r="H17" s="298">
        <v>341897</v>
      </c>
      <c r="I17" s="270">
        <f t="shared" si="0"/>
        <v>1</v>
      </c>
    </row>
    <row r="18" spans="2:12" ht="12.75">
      <c r="B18" s="536"/>
      <c r="C18" s="454"/>
      <c r="D18" s="58" t="s">
        <v>292</v>
      </c>
      <c r="E18" s="59"/>
      <c r="F18" s="59"/>
      <c r="G18" s="59">
        <v>241760</v>
      </c>
      <c r="H18" s="303">
        <v>241870</v>
      </c>
      <c r="I18" s="275">
        <f t="shared" si="0"/>
        <v>0</v>
      </c>
      <c r="L18" s="43"/>
    </row>
    <row r="19" spans="2:9" ht="12.75">
      <c r="B19" s="536"/>
      <c r="C19" s="454"/>
      <c r="D19" s="58" t="s">
        <v>293</v>
      </c>
      <c r="E19" s="59"/>
      <c r="F19" s="59">
        <v>155751</v>
      </c>
      <c r="G19" s="59">
        <v>117062</v>
      </c>
      <c r="H19" s="303">
        <v>117062</v>
      </c>
      <c r="I19" s="275">
        <f t="shared" si="0"/>
        <v>1.3305000768823358</v>
      </c>
    </row>
    <row r="20" spans="2:11" ht="12.75">
      <c r="B20" s="536"/>
      <c r="C20" s="454"/>
      <c r="D20" s="58" t="s">
        <v>295</v>
      </c>
      <c r="E20" s="59"/>
      <c r="F20" s="59">
        <v>354133</v>
      </c>
      <c r="G20" s="59">
        <v>1442525</v>
      </c>
      <c r="H20" s="303">
        <v>627000</v>
      </c>
      <c r="I20" s="275">
        <f t="shared" si="0"/>
        <v>0.5648054226475279</v>
      </c>
      <c r="K20" s="43"/>
    </row>
    <row r="21" spans="2:10" ht="12.75">
      <c r="B21" s="536"/>
      <c r="C21" s="454"/>
      <c r="D21" s="58" t="s">
        <v>294</v>
      </c>
      <c r="E21" s="59"/>
      <c r="F21" s="59"/>
      <c r="G21" s="59">
        <v>1202903</v>
      </c>
      <c r="H21" s="303">
        <v>703000</v>
      </c>
      <c r="I21" s="275">
        <f t="shared" si="0"/>
        <v>0</v>
      </c>
      <c r="J21" s="43"/>
    </row>
    <row r="22" spans="2:10" ht="12.75">
      <c r="B22" s="536"/>
      <c r="C22" s="454"/>
      <c r="D22" s="58" t="s">
        <v>296</v>
      </c>
      <c r="E22" s="59"/>
      <c r="F22" s="59">
        <v>1887746</v>
      </c>
      <c r="G22" s="59">
        <v>164585</v>
      </c>
      <c r="H22" s="303">
        <v>2408583</v>
      </c>
      <c r="I22" s="275">
        <f t="shared" si="0"/>
        <v>0.7837579190752405</v>
      </c>
      <c r="J22" s="43"/>
    </row>
    <row r="23" spans="2:10" ht="12.75">
      <c r="B23" s="536"/>
      <c r="C23" s="454"/>
      <c r="D23" s="83" t="s">
        <v>299</v>
      </c>
      <c r="E23" s="59"/>
      <c r="F23" s="59">
        <v>0</v>
      </c>
      <c r="G23" s="59">
        <f>87495+10260</f>
        <v>97755</v>
      </c>
      <c r="H23" s="303">
        <v>97755</v>
      </c>
      <c r="I23" s="275">
        <f t="shared" si="0"/>
        <v>0</v>
      </c>
      <c r="J23" s="43"/>
    </row>
    <row r="24" spans="2:10" ht="12.75">
      <c r="B24" s="536"/>
      <c r="C24" s="454"/>
      <c r="D24" s="83" t="s">
        <v>302</v>
      </c>
      <c r="E24" s="59"/>
      <c r="F24" s="59">
        <v>0</v>
      </c>
      <c r="G24" s="59">
        <v>783389</v>
      </c>
      <c r="H24" s="303">
        <v>783389</v>
      </c>
      <c r="I24" s="275">
        <f t="shared" si="0"/>
        <v>0</v>
      </c>
      <c r="J24" s="43"/>
    </row>
    <row r="25" spans="2:9" ht="12.75">
      <c r="B25" s="536"/>
      <c r="C25" s="454"/>
      <c r="D25" s="76" t="s">
        <v>309</v>
      </c>
      <c r="E25" s="59"/>
      <c r="F25" s="59">
        <v>0</v>
      </c>
      <c r="G25" s="59"/>
      <c r="H25" s="303">
        <v>5500</v>
      </c>
      <c r="I25" s="275">
        <f t="shared" si="0"/>
        <v>0</v>
      </c>
    </row>
    <row r="26" spans="2:9" ht="12.75">
      <c r="B26" s="536"/>
      <c r="C26" s="454"/>
      <c r="D26" s="83" t="s">
        <v>333</v>
      </c>
      <c r="E26" s="59"/>
      <c r="F26" s="59">
        <v>200000</v>
      </c>
      <c r="G26" s="59"/>
      <c r="H26" s="303">
        <v>200000</v>
      </c>
      <c r="I26" s="275">
        <f t="shared" si="0"/>
        <v>1</v>
      </c>
    </row>
    <row r="27" spans="2:9" ht="12.75">
      <c r="B27" s="536"/>
      <c r="C27" s="454"/>
      <c r="D27" s="52" t="s">
        <v>334</v>
      </c>
      <c r="E27" s="59"/>
      <c r="F27" s="59">
        <v>0</v>
      </c>
      <c r="G27" s="59"/>
      <c r="H27" s="303">
        <v>9300</v>
      </c>
      <c r="I27" s="275">
        <f t="shared" si="0"/>
        <v>0</v>
      </c>
    </row>
    <row r="28" spans="2:9" ht="12.75">
      <c r="B28" s="536"/>
      <c r="C28" s="454"/>
      <c r="D28" s="52" t="s">
        <v>337</v>
      </c>
      <c r="E28" s="59"/>
      <c r="F28" s="59">
        <v>20000</v>
      </c>
      <c r="G28" s="59"/>
      <c r="H28" s="303">
        <v>20000</v>
      </c>
      <c r="I28" s="275">
        <f t="shared" si="0"/>
        <v>1</v>
      </c>
    </row>
    <row r="29" spans="2:9" ht="12.75">
      <c r="B29" s="536"/>
      <c r="C29" s="454"/>
      <c r="D29" s="76"/>
      <c r="E29" s="59"/>
      <c r="F29" s="59"/>
      <c r="G29" s="59"/>
      <c r="H29" s="303">
        <v>0</v>
      </c>
      <c r="I29" s="275">
        <f t="shared" si="0"/>
        <v>0</v>
      </c>
    </row>
    <row r="30" spans="2:9" ht="12.75">
      <c r="B30" s="536"/>
      <c r="C30" s="454"/>
      <c r="D30" s="76"/>
      <c r="E30" s="59"/>
      <c r="F30" s="59"/>
      <c r="G30" s="59"/>
      <c r="H30" s="303">
        <v>0</v>
      </c>
      <c r="I30" s="275">
        <f t="shared" si="0"/>
        <v>0</v>
      </c>
    </row>
    <row r="31" spans="2:9" ht="12.75">
      <c r="B31" s="536"/>
      <c r="C31" s="454"/>
      <c r="D31" s="76"/>
      <c r="E31" s="94"/>
      <c r="F31" s="94"/>
      <c r="G31" s="94"/>
      <c r="H31" s="362">
        <v>0</v>
      </c>
      <c r="I31" s="355">
        <f t="shared" si="0"/>
        <v>0</v>
      </c>
    </row>
    <row r="32" spans="2:9" ht="12.75">
      <c r="B32" s="536"/>
      <c r="C32" s="454"/>
      <c r="D32" s="76"/>
      <c r="E32" s="59"/>
      <c r="F32" s="59"/>
      <c r="G32" s="59"/>
      <c r="H32" s="303">
        <v>0</v>
      </c>
      <c r="I32" s="275">
        <f t="shared" si="0"/>
        <v>0</v>
      </c>
    </row>
    <row r="33" spans="2:9" ht="13.5" thickBot="1">
      <c r="B33" s="537"/>
      <c r="C33" s="438"/>
      <c r="D33" s="60"/>
      <c r="E33" s="208"/>
      <c r="F33" s="208"/>
      <c r="G33" s="208"/>
      <c r="H33" s="363">
        <v>0</v>
      </c>
      <c r="I33" s="356">
        <f t="shared" si="0"/>
        <v>0</v>
      </c>
    </row>
    <row r="34" spans="2:9" s="47" customFormat="1" ht="15.75" thickBot="1">
      <c r="B34" s="150">
        <v>330</v>
      </c>
      <c r="C34" s="435" t="s">
        <v>112</v>
      </c>
      <c r="D34" s="436"/>
      <c r="E34" s="82">
        <f>E35</f>
        <v>0</v>
      </c>
      <c r="F34" s="82">
        <f>F35</f>
        <v>0</v>
      </c>
      <c r="G34" s="82">
        <f>G35</f>
        <v>0</v>
      </c>
      <c r="H34" s="364">
        <v>0</v>
      </c>
      <c r="I34" s="357">
        <f t="shared" si="0"/>
        <v>0</v>
      </c>
    </row>
    <row r="35" spans="2:9" ht="13.5" thickBot="1">
      <c r="B35" s="533"/>
      <c r="C35" s="141">
        <v>332</v>
      </c>
      <c r="D35" s="2" t="s">
        <v>138</v>
      </c>
      <c r="E35" s="3"/>
      <c r="F35" s="3"/>
      <c r="G35" s="3"/>
      <c r="H35" s="311"/>
      <c r="I35" s="283">
        <f t="shared" si="0"/>
        <v>0</v>
      </c>
    </row>
    <row r="36" spans="2:9" ht="12.75">
      <c r="B36" s="534"/>
      <c r="C36" s="437"/>
      <c r="D36" s="77"/>
      <c r="E36" s="86"/>
      <c r="F36" s="86"/>
      <c r="G36" s="86"/>
      <c r="H36" s="317">
        <f>E36+F36+G36</f>
        <v>0</v>
      </c>
      <c r="I36" s="289">
        <f t="shared" si="0"/>
        <v>0</v>
      </c>
    </row>
    <row r="37" spans="2:9" ht="13.5" thickBot="1">
      <c r="B37" s="534"/>
      <c r="C37" s="454"/>
      <c r="D37" s="4"/>
      <c r="E37" s="1"/>
      <c r="F37" s="1"/>
      <c r="G37" s="1"/>
      <c r="H37" s="359">
        <f>E37+F37+G37</f>
        <v>0</v>
      </c>
      <c r="I37" s="352">
        <f t="shared" si="0"/>
        <v>0</v>
      </c>
    </row>
    <row r="38" spans="2:9" s="66" customFormat="1" ht="17.25" thickBot="1" thickTop="1">
      <c r="B38" s="151"/>
      <c r="C38" s="152"/>
      <c r="D38" s="105" t="s">
        <v>135</v>
      </c>
      <c r="E38" s="106">
        <f>E14+E5</f>
        <v>4391413</v>
      </c>
      <c r="F38" s="106">
        <f>F14+F5</f>
        <v>3456141</v>
      </c>
      <c r="G38" s="106">
        <f>G14+G5</f>
        <v>4727097</v>
      </c>
      <c r="H38" s="319">
        <f>H14+H5</f>
        <v>5919606</v>
      </c>
      <c r="I38" s="292">
        <f t="shared" si="0"/>
        <v>0.583846458700123</v>
      </c>
    </row>
    <row r="39" ht="13.5" thickTop="1">
      <c r="F39" s="55"/>
    </row>
    <row r="40" ht="12.75">
      <c r="F40" s="410"/>
    </row>
    <row r="41" ht="12.75">
      <c r="F41" s="409"/>
    </row>
    <row r="42" ht="12.75">
      <c r="G42" s="409"/>
    </row>
  </sheetData>
  <sheetProtection/>
  <mergeCells count="20">
    <mergeCell ref="I3:I4"/>
    <mergeCell ref="C14:D14"/>
    <mergeCell ref="H3:H4"/>
    <mergeCell ref="C5:D5"/>
    <mergeCell ref="C6:D6"/>
    <mergeCell ref="C3:C4"/>
    <mergeCell ref="D3:D4"/>
    <mergeCell ref="E3:E4"/>
    <mergeCell ref="F3:F4"/>
    <mergeCell ref="G3:G4"/>
    <mergeCell ref="B7:B13"/>
    <mergeCell ref="B3:B4"/>
    <mergeCell ref="B35:B37"/>
    <mergeCell ref="C17:C33"/>
    <mergeCell ref="C36:C37"/>
    <mergeCell ref="B16:B33"/>
    <mergeCell ref="C34:D34"/>
    <mergeCell ref="C8:C9"/>
    <mergeCell ref="C15:D15"/>
    <mergeCell ref="C11:C13"/>
  </mergeCells>
  <printOptions/>
  <pageMargins left="0.25" right="0.21" top="1" bottom="1" header="0.4921259845" footer="0.492125984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P77"/>
  <sheetViews>
    <sheetView showGridLines="0" zoomScalePageLayoutView="0" workbookViewId="0" topLeftCell="A57">
      <selection activeCell="F77" sqref="F77"/>
    </sheetView>
  </sheetViews>
  <sheetFormatPr defaultColWidth="9.140625" defaultRowHeight="12.75"/>
  <cols>
    <col min="1" max="1" width="2.00390625" style="204" customWidth="1"/>
    <col min="2" max="2" width="10.421875" style="55" customWidth="1"/>
    <col min="3" max="3" width="8.140625" style="55" customWidth="1"/>
    <col min="4" max="4" width="31.421875" style="55" customWidth="1"/>
    <col min="5" max="6" width="12.00390625" style="55" customWidth="1"/>
    <col min="7" max="8" width="11.8515625" style="55" customWidth="1"/>
    <col min="9" max="9" width="11.57421875" style="67" customWidth="1"/>
    <col min="10" max="16384" width="9.140625" style="204" customWidth="1"/>
  </cols>
  <sheetData>
    <row r="1" spans="2:9" ht="13.5" thickBot="1">
      <c r="B1" s="543" t="s">
        <v>141</v>
      </c>
      <c r="C1" s="543"/>
      <c r="D1" s="543"/>
      <c r="E1" s="543"/>
      <c r="F1" s="543"/>
      <c r="G1" s="543"/>
      <c r="H1" s="543"/>
      <c r="I1" s="543"/>
    </row>
    <row r="2" spans="2:9" ht="13.5" customHeight="1" thickTop="1">
      <c r="B2" s="503" t="s">
        <v>60</v>
      </c>
      <c r="C2" s="487" t="s">
        <v>61</v>
      </c>
      <c r="D2" s="506" t="s">
        <v>62</v>
      </c>
      <c r="E2" s="467" t="s">
        <v>356</v>
      </c>
      <c r="F2" s="467" t="s">
        <v>355</v>
      </c>
      <c r="G2" s="467" t="s">
        <v>357</v>
      </c>
      <c r="H2" s="480" t="s">
        <v>305</v>
      </c>
      <c r="I2" s="528" t="s">
        <v>358</v>
      </c>
    </row>
    <row r="3" spans="2:9" ht="27" customHeight="1" thickBot="1">
      <c r="B3" s="504"/>
      <c r="C3" s="488"/>
      <c r="D3" s="507"/>
      <c r="E3" s="468"/>
      <c r="F3" s="468"/>
      <c r="G3" s="468"/>
      <c r="H3" s="481"/>
      <c r="I3" s="529"/>
    </row>
    <row r="4" spans="2:9" s="205" customFormat="1" ht="16.5" thickBot="1" thickTop="1">
      <c r="B4" s="102" t="s">
        <v>65</v>
      </c>
      <c r="C4" s="538" t="s">
        <v>142</v>
      </c>
      <c r="D4" s="538"/>
      <c r="E4" s="164">
        <v>3383</v>
      </c>
      <c r="F4" s="164"/>
      <c r="G4" s="164">
        <f>SUM(G5:G6)</f>
        <v>0</v>
      </c>
      <c r="H4" s="164">
        <f>SUM(H5:H6)</f>
        <v>0</v>
      </c>
      <c r="I4" s="286">
        <f>IF(H4=0,0,F4/H4)</f>
        <v>0</v>
      </c>
    </row>
    <row r="5" spans="2:9" ht="13.5" thickBot="1">
      <c r="B5" s="539"/>
      <c r="C5" s="544"/>
      <c r="D5" s="85"/>
      <c r="E5" s="72"/>
      <c r="F5" s="72"/>
      <c r="G5" s="72"/>
      <c r="H5" s="72"/>
      <c r="I5" s="392">
        <f>IF(H5=0,0,F5/H5)</f>
        <v>0</v>
      </c>
    </row>
    <row r="6" spans="2:9" ht="13.5" hidden="1" thickBot="1">
      <c r="B6" s="540"/>
      <c r="C6" s="546"/>
      <c r="D6" s="85"/>
      <c r="E6" s="72"/>
      <c r="F6" s="72"/>
      <c r="G6" s="72"/>
      <c r="H6" s="72"/>
      <c r="I6" s="392">
        <f>IF(H6=0,0,F6/H6)</f>
        <v>0</v>
      </c>
    </row>
    <row r="7" spans="2:9" s="205" customFormat="1" ht="15.75" thickBot="1">
      <c r="B7" s="96" t="s">
        <v>161</v>
      </c>
      <c r="C7" s="541" t="s">
        <v>13</v>
      </c>
      <c r="D7" s="541"/>
      <c r="E7" s="41">
        <v>18253</v>
      </c>
      <c r="F7" s="41">
        <f>SUM(F8:F8)</f>
        <v>16675</v>
      </c>
      <c r="G7" s="41">
        <f>SUM(G8:G8)</f>
        <v>3350</v>
      </c>
      <c r="H7" s="41">
        <v>16675</v>
      </c>
      <c r="I7" s="282">
        <f>IF(H7=0,0,F7/H7)</f>
        <v>1</v>
      </c>
    </row>
    <row r="8" spans="2:10" ht="13.5" thickBot="1">
      <c r="B8" s="154"/>
      <c r="C8" s="91"/>
      <c r="D8" s="75" t="s">
        <v>241</v>
      </c>
      <c r="E8" s="57"/>
      <c r="F8" s="57">
        <v>16675</v>
      </c>
      <c r="G8" s="57">
        <v>3350</v>
      </c>
      <c r="H8" s="57">
        <v>16675</v>
      </c>
      <c r="I8" s="274">
        <f>IF(H8=0,0,F8/H8)</f>
        <v>1</v>
      </c>
      <c r="J8" s="264"/>
    </row>
    <row r="9" spans="2:9" s="205" customFormat="1" ht="15.75" thickBot="1">
      <c r="B9" s="96" t="s">
        <v>143</v>
      </c>
      <c r="C9" s="541" t="s">
        <v>144</v>
      </c>
      <c r="D9" s="541"/>
      <c r="E9" s="41">
        <v>610914</v>
      </c>
      <c r="F9" s="41">
        <f>SUM(F10:F19)</f>
        <v>1718795</v>
      </c>
      <c r="G9" s="41">
        <f>SUM(G10:G19)</f>
        <v>2908528</v>
      </c>
      <c r="H9" s="41">
        <v>3238459</v>
      </c>
      <c r="I9" s="282">
        <f aca="true" t="shared" si="0" ref="I9:I74">IF(H9=0,0,F9/H9)</f>
        <v>0.5307447153105844</v>
      </c>
    </row>
    <row r="10" spans="2:11" ht="12.75">
      <c r="B10" s="539"/>
      <c r="C10" s="549"/>
      <c r="D10" s="85" t="s">
        <v>301</v>
      </c>
      <c r="E10" s="72"/>
      <c r="F10" s="72">
        <v>827096</v>
      </c>
      <c r="G10" s="72">
        <v>824620</v>
      </c>
      <c r="H10" s="72">
        <v>827020</v>
      </c>
      <c r="I10" s="279">
        <f>IF(H10=0,0,F10/H10)</f>
        <v>1.000091896205654</v>
      </c>
      <c r="K10" s="228"/>
    </row>
    <row r="11" spans="2:10" ht="12.75">
      <c r="B11" s="542"/>
      <c r="C11" s="550"/>
      <c r="D11" s="76" t="s">
        <v>247</v>
      </c>
      <c r="E11" s="59"/>
      <c r="F11" s="59">
        <v>167679</v>
      </c>
      <c r="G11" s="59">
        <v>167679</v>
      </c>
      <c r="H11" s="59">
        <v>167679</v>
      </c>
      <c r="I11" s="275">
        <f t="shared" si="0"/>
        <v>1</v>
      </c>
      <c r="J11" s="55"/>
    </row>
    <row r="12" spans="2:16" ht="12.75">
      <c r="B12" s="542"/>
      <c r="C12" s="550"/>
      <c r="D12" s="76" t="s">
        <v>256</v>
      </c>
      <c r="E12" s="59"/>
      <c r="F12" s="59"/>
      <c r="G12" s="59">
        <v>261120</v>
      </c>
      <c r="H12" s="59">
        <v>257040</v>
      </c>
      <c r="I12" s="275">
        <f t="shared" si="0"/>
        <v>0</v>
      </c>
      <c r="J12" s="55"/>
      <c r="P12" s="233"/>
    </row>
    <row r="13" spans="2:16" ht="12.75">
      <c r="B13" s="542"/>
      <c r="C13" s="550"/>
      <c r="D13" s="76" t="s">
        <v>371</v>
      </c>
      <c r="E13" s="59"/>
      <c r="F13" s="59">
        <v>12013</v>
      </c>
      <c r="G13" s="59"/>
      <c r="H13" s="59"/>
      <c r="I13" s="275">
        <f t="shared" si="0"/>
        <v>0</v>
      </c>
      <c r="J13" s="55"/>
      <c r="P13" s="233"/>
    </row>
    <row r="14" spans="2:9" ht="12.75">
      <c r="B14" s="542"/>
      <c r="C14" s="550"/>
      <c r="D14" s="76" t="s">
        <v>248</v>
      </c>
      <c r="E14" s="59"/>
      <c r="F14" s="59">
        <v>2104</v>
      </c>
      <c r="G14" s="59">
        <v>2105</v>
      </c>
      <c r="H14" s="59">
        <v>2105</v>
      </c>
      <c r="I14" s="275">
        <f t="shared" si="0"/>
        <v>0.9995249406175772</v>
      </c>
    </row>
    <row r="15" spans="2:12" ht="12.75">
      <c r="B15" s="542"/>
      <c r="C15" s="550"/>
      <c r="D15" s="76" t="s">
        <v>343</v>
      </c>
      <c r="E15" s="59"/>
      <c r="F15" s="59">
        <f>51247+47117-2000</f>
        <v>96364</v>
      </c>
      <c r="G15" s="59"/>
      <c r="H15" s="59">
        <v>96408</v>
      </c>
      <c r="I15" s="275">
        <f t="shared" si="0"/>
        <v>0.9995436063397228</v>
      </c>
      <c r="K15" s="228"/>
      <c r="L15" s="228"/>
    </row>
    <row r="16" spans="2:12" ht="12.75">
      <c r="B16" s="542"/>
      <c r="C16" s="550"/>
      <c r="D16" s="93" t="s">
        <v>321</v>
      </c>
      <c r="E16" s="94"/>
      <c r="F16" s="59">
        <f>97790+2000</f>
        <v>99790</v>
      </c>
      <c r="G16" s="94"/>
      <c r="H16" s="59">
        <v>100000</v>
      </c>
      <c r="I16" s="275">
        <f t="shared" si="0"/>
        <v>0.9979</v>
      </c>
      <c r="L16" s="228"/>
    </row>
    <row r="17" spans="2:9" ht="12.75">
      <c r="B17" s="542"/>
      <c r="C17" s="550"/>
      <c r="D17" s="93" t="s">
        <v>322</v>
      </c>
      <c r="E17" s="94"/>
      <c r="F17" s="94">
        <v>3997</v>
      </c>
      <c r="G17" s="94"/>
      <c r="H17" s="59">
        <v>200000</v>
      </c>
      <c r="I17" s="275">
        <f t="shared" si="0"/>
        <v>0.019985</v>
      </c>
    </row>
    <row r="18" spans="2:12" ht="12.75">
      <c r="B18" s="542"/>
      <c r="C18" s="550"/>
      <c r="D18" s="93" t="s">
        <v>258</v>
      </c>
      <c r="E18" s="94"/>
      <c r="F18" s="94">
        <v>186607</v>
      </c>
      <c r="G18" s="94">
        <v>443870</v>
      </c>
      <c r="H18" s="59">
        <v>379073</v>
      </c>
      <c r="I18" s="275">
        <f t="shared" si="0"/>
        <v>0.49227193706753053</v>
      </c>
      <c r="K18" s="228"/>
      <c r="L18" s="228"/>
    </row>
    <row r="19" spans="2:12" ht="13.5" thickBot="1">
      <c r="B19" s="540"/>
      <c r="C19" s="551"/>
      <c r="D19" s="93" t="s">
        <v>352</v>
      </c>
      <c r="E19" s="94"/>
      <c r="F19" s="94">
        <f>323145</f>
        <v>323145</v>
      </c>
      <c r="G19" s="94">
        <v>1209134</v>
      </c>
      <c r="H19" s="59">
        <v>1209134</v>
      </c>
      <c r="I19" s="275">
        <f t="shared" si="0"/>
        <v>0.26725325728992816</v>
      </c>
      <c r="L19" s="228"/>
    </row>
    <row r="20" spans="2:12" s="205" customFormat="1" ht="15.75" thickBot="1">
      <c r="B20" s="155" t="s">
        <v>145</v>
      </c>
      <c r="C20" s="541" t="s">
        <v>146</v>
      </c>
      <c r="D20" s="541"/>
      <c r="E20" s="41">
        <v>484191</v>
      </c>
      <c r="F20" s="41">
        <f>SUM(F21:F31)</f>
        <v>181309</v>
      </c>
      <c r="G20" s="41">
        <f>SUM(G21:G31)</f>
        <v>112525</v>
      </c>
      <c r="H20" s="41">
        <v>242275</v>
      </c>
      <c r="I20" s="282">
        <f t="shared" si="0"/>
        <v>0.7483603343308224</v>
      </c>
      <c r="L20" s="252"/>
    </row>
    <row r="21" spans="2:12" ht="12.75">
      <c r="B21" s="539"/>
      <c r="C21" s="544"/>
      <c r="D21" s="76" t="s">
        <v>274</v>
      </c>
      <c r="E21" s="59"/>
      <c r="F21" s="59"/>
      <c r="G21" s="59">
        <f>4605+540</f>
        <v>5145</v>
      </c>
      <c r="H21" s="59">
        <v>5145</v>
      </c>
      <c r="I21" s="275">
        <f t="shared" si="0"/>
        <v>0</v>
      </c>
      <c r="L21" s="228"/>
    </row>
    <row r="22" spans="2:9" ht="12.75">
      <c r="B22" s="542"/>
      <c r="C22" s="545"/>
      <c r="D22" s="76" t="s">
        <v>316</v>
      </c>
      <c r="E22" s="59"/>
      <c r="F22" s="59">
        <v>3850</v>
      </c>
      <c r="G22" s="59"/>
      <c r="H22" s="59">
        <v>3850</v>
      </c>
      <c r="I22" s="275">
        <f t="shared" si="0"/>
        <v>1</v>
      </c>
    </row>
    <row r="23" spans="2:9" ht="12.75">
      <c r="B23" s="542"/>
      <c r="C23" s="545"/>
      <c r="D23" s="76" t="s">
        <v>351</v>
      </c>
      <c r="E23" s="59"/>
      <c r="F23" s="59"/>
      <c r="G23" s="59"/>
      <c r="H23" s="59">
        <v>47936</v>
      </c>
      <c r="I23" s="275">
        <f t="shared" si="0"/>
        <v>0</v>
      </c>
    </row>
    <row r="24" spans="2:9" ht="12.75">
      <c r="B24" s="542"/>
      <c r="C24" s="545"/>
      <c r="D24" s="76" t="s">
        <v>262</v>
      </c>
      <c r="E24" s="59"/>
      <c r="F24" s="59">
        <v>22270</v>
      </c>
      <c r="G24" s="59">
        <v>24070</v>
      </c>
      <c r="H24" s="59">
        <v>21134</v>
      </c>
      <c r="I24" s="275">
        <f>IF(H24=0,0,F24/H24)</f>
        <v>1.0537522475631684</v>
      </c>
    </row>
    <row r="25" spans="2:9" ht="12.75">
      <c r="B25" s="542"/>
      <c r="C25" s="545"/>
      <c r="D25" s="76" t="s">
        <v>291</v>
      </c>
      <c r="E25" s="59"/>
      <c r="F25" s="59">
        <v>51117</v>
      </c>
      <c r="G25" s="59">
        <v>51300</v>
      </c>
      <c r="H25" s="59">
        <v>51700</v>
      </c>
      <c r="I25" s="275">
        <f t="shared" si="0"/>
        <v>0.9887234042553191</v>
      </c>
    </row>
    <row r="26" spans="2:9" ht="12.75">
      <c r="B26" s="542"/>
      <c r="C26" s="545"/>
      <c r="D26" s="76" t="s">
        <v>304</v>
      </c>
      <c r="E26" s="59"/>
      <c r="F26" s="59">
        <v>2010</v>
      </c>
      <c r="G26" s="59">
        <v>2010</v>
      </c>
      <c r="H26" s="59">
        <v>2010</v>
      </c>
      <c r="I26" s="275">
        <f t="shared" si="0"/>
        <v>1</v>
      </c>
    </row>
    <row r="27" spans="2:9" ht="12.75">
      <c r="B27" s="542"/>
      <c r="C27" s="545"/>
      <c r="D27" s="76" t="s">
        <v>313</v>
      </c>
      <c r="E27" s="59"/>
      <c r="F27" s="59">
        <v>11849</v>
      </c>
      <c r="G27" s="59">
        <v>30000</v>
      </c>
      <c r="H27" s="59">
        <v>21000</v>
      </c>
      <c r="I27" s="275">
        <f t="shared" si="0"/>
        <v>0.5642380952380952</v>
      </c>
    </row>
    <row r="28" spans="2:9" ht="12.75">
      <c r="B28" s="542"/>
      <c r="C28" s="545"/>
      <c r="D28" s="76" t="s">
        <v>312</v>
      </c>
      <c r="E28" s="59"/>
      <c r="F28" s="59">
        <v>16965</v>
      </c>
      <c r="G28" s="59"/>
      <c r="H28" s="59">
        <v>17200</v>
      </c>
      <c r="I28" s="275">
        <f t="shared" si="0"/>
        <v>0.9863372093023256</v>
      </c>
    </row>
    <row r="29" spans="2:9" ht="12.75">
      <c r="B29" s="542"/>
      <c r="C29" s="545"/>
      <c r="D29" s="76" t="s">
        <v>228</v>
      </c>
      <c r="E29" s="59"/>
      <c r="F29" s="59">
        <v>9298</v>
      </c>
      <c r="G29" s="59"/>
      <c r="H29" s="59">
        <v>9300</v>
      </c>
      <c r="I29" s="275">
        <f t="shared" si="0"/>
        <v>0.9997849462365591</v>
      </c>
    </row>
    <row r="30" spans="2:11" ht="12.75" hidden="1">
      <c r="B30" s="542"/>
      <c r="C30" s="545"/>
      <c r="D30" s="93" t="s">
        <v>344</v>
      </c>
      <c r="E30" s="94"/>
      <c r="F30" s="94"/>
      <c r="G30" s="94"/>
      <c r="H30" s="59">
        <v>0</v>
      </c>
      <c r="I30" s="275">
        <f t="shared" si="0"/>
        <v>0</v>
      </c>
      <c r="K30" s="228"/>
    </row>
    <row r="31" spans="2:9" ht="13.5" thickBot="1">
      <c r="B31" s="540"/>
      <c r="C31" s="546"/>
      <c r="D31" s="93" t="s">
        <v>310</v>
      </c>
      <c r="E31" s="94"/>
      <c r="F31" s="94">
        <f>63000+950</f>
        <v>63950</v>
      </c>
      <c r="G31" s="94"/>
      <c r="H31" s="94">
        <v>63000</v>
      </c>
      <c r="I31" s="355">
        <f t="shared" si="0"/>
        <v>1.015079365079365</v>
      </c>
    </row>
    <row r="32" spans="2:9" s="205" customFormat="1" ht="15.75" thickBot="1">
      <c r="B32" s="250" t="s">
        <v>28</v>
      </c>
      <c r="C32" s="548" t="s">
        <v>29</v>
      </c>
      <c r="D32" s="548"/>
      <c r="E32" s="41">
        <v>1330064</v>
      </c>
      <c r="F32" s="41">
        <f>SUM(F33:F34)</f>
        <v>2147096</v>
      </c>
      <c r="G32" s="41">
        <f>SUM(G33:G34)</f>
        <v>175628</v>
      </c>
      <c r="H32" s="41">
        <v>2156403</v>
      </c>
      <c r="I32" s="282">
        <f t="shared" si="0"/>
        <v>0.9956840163921122</v>
      </c>
    </row>
    <row r="33" spans="2:9" ht="12.75">
      <c r="B33" s="539"/>
      <c r="C33" s="544"/>
      <c r="D33" s="4" t="s">
        <v>297</v>
      </c>
      <c r="E33" s="72"/>
      <c r="F33" s="72">
        <v>2147096</v>
      </c>
      <c r="G33" s="72">
        <v>175628</v>
      </c>
      <c r="H33" s="72">
        <v>2156403</v>
      </c>
      <c r="I33" s="279">
        <f t="shared" si="0"/>
        <v>0.9956840163921122</v>
      </c>
    </row>
    <row r="34" spans="2:9" ht="13.5" thickBot="1">
      <c r="B34" s="540"/>
      <c r="C34" s="546"/>
      <c r="D34" s="79"/>
      <c r="E34" s="61"/>
      <c r="F34" s="61"/>
      <c r="G34" s="61"/>
      <c r="H34" s="61">
        <v>0</v>
      </c>
      <c r="I34" s="280">
        <f t="shared" si="0"/>
        <v>0</v>
      </c>
    </row>
    <row r="35" spans="2:9" s="205" customFormat="1" ht="15.75" thickBot="1">
      <c r="B35" s="190" t="s">
        <v>147</v>
      </c>
      <c r="C35" s="548" t="s">
        <v>148</v>
      </c>
      <c r="D35" s="548"/>
      <c r="E35" s="90">
        <v>1867328</v>
      </c>
      <c r="F35" s="90">
        <f>SUM(F36:F39)</f>
        <v>182399</v>
      </c>
      <c r="G35" s="90">
        <f>SUM(G36:G39)</f>
        <v>77030</v>
      </c>
      <c r="H35" s="90">
        <v>203280</v>
      </c>
      <c r="I35" s="268">
        <f t="shared" si="0"/>
        <v>0.8972796143250689</v>
      </c>
    </row>
    <row r="36" spans="2:9" ht="12.75">
      <c r="B36" s="539"/>
      <c r="C36" s="544"/>
      <c r="D36" s="58" t="s">
        <v>227</v>
      </c>
      <c r="E36" s="72"/>
      <c r="F36" s="72">
        <v>26782</v>
      </c>
      <c r="G36" s="72">
        <v>32530</v>
      </c>
      <c r="H36" s="72">
        <v>32530</v>
      </c>
      <c r="I36" s="279">
        <f t="shared" si="0"/>
        <v>0.8233015677835844</v>
      </c>
    </row>
    <row r="37" spans="2:9" ht="12.75">
      <c r="B37" s="542"/>
      <c r="C37" s="545"/>
      <c r="D37" s="262" t="s">
        <v>353</v>
      </c>
      <c r="E37" s="72"/>
      <c r="F37" s="72"/>
      <c r="G37" s="72"/>
      <c r="H37" s="59">
        <v>7350</v>
      </c>
      <c r="I37" s="275">
        <f t="shared" si="0"/>
        <v>0</v>
      </c>
    </row>
    <row r="38" spans="2:9" ht="12.75">
      <c r="B38" s="542"/>
      <c r="C38" s="545"/>
      <c r="D38" s="93" t="s">
        <v>300</v>
      </c>
      <c r="E38" s="59"/>
      <c r="F38" s="59">
        <v>36977</v>
      </c>
      <c r="G38" s="72">
        <v>44500</v>
      </c>
      <c r="H38" s="59">
        <v>44500</v>
      </c>
      <c r="I38" s="275">
        <f t="shared" si="0"/>
        <v>0.8309438202247191</v>
      </c>
    </row>
    <row r="39" spans="2:9" ht="13.5" thickBot="1">
      <c r="B39" s="540"/>
      <c r="C39" s="546"/>
      <c r="D39" s="93" t="s">
        <v>320</v>
      </c>
      <c r="E39" s="1"/>
      <c r="F39" s="1">
        <v>118640</v>
      </c>
      <c r="G39" s="1"/>
      <c r="H39" s="1">
        <v>118900</v>
      </c>
      <c r="I39" s="352">
        <f t="shared" si="0"/>
        <v>0.9978132884777123</v>
      </c>
    </row>
    <row r="40" spans="2:9" ht="15.75" thickBot="1">
      <c r="B40" s="96" t="s">
        <v>164</v>
      </c>
      <c r="C40" s="435" t="s">
        <v>165</v>
      </c>
      <c r="D40" s="436"/>
      <c r="E40" s="41">
        <v>113606</v>
      </c>
      <c r="F40" s="41">
        <f>SUM(F41:F45)</f>
        <v>254005</v>
      </c>
      <c r="G40" s="41">
        <f>SUM(G41:G45)</f>
        <v>259600</v>
      </c>
      <c r="H40" s="41">
        <v>798860</v>
      </c>
      <c r="I40" s="282">
        <f t="shared" si="0"/>
        <v>0.317959342062439</v>
      </c>
    </row>
    <row r="41" spans="2:9" ht="12.75">
      <c r="B41" s="539"/>
      <c r="C41" s="544"/>
      <c r="D41" s="75" t="s">
        <v>303</v>
      </c>
      <c r="E41" s="57"/>
      <c r="F41" s="57">
        <v>17440</v>
      </c>
      <c r="G41" s="57">
        <v>17500</v>
      </c>
      <c r="H41" s="57">
        <v>17500</v>
      </c>
      <c r="I41" s="274">
        <f t="shared" si="0"/>
        <v>0.9965714285714286</v>
      </c>
    </row>
    <row r="42" spans="2:9" ht="12.75">
      <c r="B42" s="542"/>
      <c r="C42" s="545"/>
      <c r="D42" s="76" t="s">
        <v>298</v>
      </c>
      <c r="E42" s="59"/>
      <c r="F42" s="72">
        <v>10755</v>
      </c>
      <c r="G42" s="59">
        <v>92100</v>
      </c>
      <c r="H42" s="72">
        <v>92100</v>
      </c>
      <c r="I42" s="279">
        <f t="shared" si="0"/>
        <v>0.11677524429967427</v>
      </c>
    </row>
    <row r="43" spans="2:9" ht="12.75">
      <c r="B43" s="542"/>
      <c r="C43" s="545"/>
      <c r="D43" s="76" t="s">
        <v>314</v>
      </c>
      <c r="E43" s="59"/>
      <c r="F43" s="72">
        <v>70020</v>
      </c>
      <c r="G43" s="59"/>
      <c r="H43" s="72">
        <v>70000</v>
      </c>
      <c r="I43" s="279">
        <f t="shared" si="0"/>
        <v>1.0002857142857142</v>
      </c>
    </row>
    <row r="44" spans="2:9" ht="12.75">
      <c r="B44" s="542"/>
      <c r="C44" s="545"/>
      <c r="D44" s="76" t="s">
        <v>324</v>
      </c>
      <c r="E44" s="59"/>
      <c r="F44" s="72"/>
      <c r="G44" s="59"/>
      <c r="H44" s="72">
        <v>52050</v>
      </c>
      <c r="I44" s="279">
        <f t="shared" si="0"/>
        <v>0</v>
      </c>
    </row>
    <row r="45" spans="2:11" ht="13.5" thickBot="1">
      <c r="B45" s="540"/>
      <c r="C45" s="546"/>
      <c r="D45" s="211" t="s">
        <v>361</v>
      </c>
      <c r="E45" s="208"/>
      <c r="F45" s="208">
        <f>69442+86348</f>
        <v>155790</v>
      </c>
      <c r="G45" s="208">
        <v>150000</v>
      </c>
      <c r="H45" s="208">
        <v>567210</v>
      </c>
      <c r="I45" s="356">
        <f t="shared" si="0"/>
        <v>0.27466017876976784</v>
      </c>
      <c r="K45" s="228"/>
    </row>
    <row r="46" spans="2:9" s="205" customFormat="1" ht="15.75" thickBot="1">
      <c r="B46" s="190" t="s">
        <v>149</v>
      </c>
      <c r="C46" s="455" t="s">
        <v>150</v>
      </c>
      <c r="D46" s="456"/>
      <c r="E46" s="95">
        <v>3228</v>
      </c>
      <c r="F46" s="95">
        <f>SUM(F47:F48)</f>
        <v>15058</v>
      </c>
      <c r="G46" s="95">
        <f>SUM(G47:G48)</f>
        <v>0</v>
      </c>
      <c r="H46" s="95">
        <v>15000</v>
      </c>
      <c r="I46" s="286">
        <f t="shared" si="0"/>
        <v>1.0038666666666667</v>
      </c>
    </row>
    <row r="47" spans="2:9" s="205" customFormat="1" ht="13.5" customHeight="1">
      <c r="B47" s="508"/>
      <c r="C47" s="547"/>
      <c r="D47" s="27" t="s">
        <v>315</v>
      </c>
      <c r="E47" s="39"/>
      <c r="F47" s="39">
        <v>15058</v>
      </c>
      <c r="G47" s="39"/>
      <c r="H47" s="39">
        <v>15000</v>
      </c>
      <c r="I47" s="375">
        <f t="shared" si="0"/>
        <v>1.0038666666666667</v>
      </c>
    </row>
    <row r="48" spans="2:9" s="205" customFormat="1" ht="13.5" customHeight="1" thickBot="1">
      <c r="B48" s="508"/>
      <c r="C48" s="547"/>
      <c r="D48" s="27" t="s">
        <v>318</v>
      </c>
      <c r="E48" s="39"/>
      <c r="F48" s="39"/>
      <c r="G48" s="39"/>
      <c r="H48" s="39">
        <v>0</v>
      </c>
      <c r="I48" s="375">
        <f t="shared" si="0"/>
        <v>0</v>
      </c>
    </row>
    <row r="49" spans="2:9" s="205" customFormat="1" ht="15.75" thickBot="1">
      <c r="B49" s="155" t="s">
        <v>151</v>
      </c>
      <c r="C49" s="435" t="s">
        <v>152</v>
      </c>
      <c r="D49" s="436"/>
      <c r="E49" s="41">
        <v>20761</v>
      </c>
      <c r="F49" s="41">
        <f>SUM(F50:F58)</f>
        <v>158221</v>
      </c>
      <c r="G49" s="41">
        <f>SUM(G50:G58)</f>
        <v>137850</v>
      </c>
      <c r="H49" s="41">
        <v>63020</v>
      </c>
      <c r="I49" s="282">
        <f>IF(H49=0,0,F49/H49)</f>
        <v>2.510647413519518</v>
      </c>
    </row>
    <row r="50" spans="2:9" ht="12.75">
      <c r="B50" s="539"/>
      <c r="C50" s="544"/>
      <c r="D50" s="387" t="s">
        <v>223</v>
      </c>
      <c r="E50" s="59"/>
      <c r="F50" s="59">
        <v>1402</v>
      </c>
      <c r="G50" s="59">
        <v>33000</v>
      </c>
      <c r="H50" s="59">
        <v>2000</v>
      </c>
      <c r="I50" s="275">
        <f t="shared" si="0"/>
        <v>0.701</v>
      </c>
    </row>
    <row r="51" spans="2:9" ht="12.75">
      <c r="B51" s="542"/>
      <c r="C51" s="545"/>
      <c r="D51" s="387" t="s">
        <v>224</v>
      </c>
      <c r="E51" s="59"/>
      <c r="F51" s="59">
        <v>17696</v>
      </c>
      <c r="G51" s="59">
        <v>50000</v>
      </c>
      <c r="H51" s="59">
        <v>18000</v>
      </c>
      <c r="I51" s="275">
        <f t="shared" si="0"/>
        <v>0.9831111111111112</v>
      </c>
    </row>
    <row r="52" spans="2:9" ht="12.75">
      <c r="B52" s="542"/>
      <c r="C52" s="545"/>
      <c r="D52" s="387" t="s">
        <v>240</v>
      </c>
      <c r="E52" s="59"/>
      <c r="F52" s="59"/>
      <c r="G52" s="59"/>
      <c r="H52" s="59">
        <v>550</v>
      </c>
      <c r="I52" s="275">
        <f t="shared" si="0"/>
        <v>0</v>
      </c>
    </row>
    <row r="53" spans="2:9" ht="12.75">
      <c r="B53" s="542"/>
      <c r="C53" s="545"/>
      <c r="D53" s="387" t="s">
        <v>308</v>
      </c>
      <c r="E53" s="59"/>
      <c r="F53" s="59">
        <v>29446</v>
      </c>
      <c r="G53" s="59"/>
      <c r="H53" s="59">
        <v>36000</v>
      </c>
      <c r="I53" s="275">
        <f t="shared" si="0"/>
        <v>0.8179444444444445</v>
      </c>
    </row>
    <row r="54" spans="2:9" ht="12.75">
      <c r="B54" s="542"/>
      <c r="C54" s="545"/>
      <c r="D54" s="388" t="s">
        <v>307</v>
      </c>
      <c r="E54" s="59"/>
      <c r="F54" s="59">
        <f>5890+500</f>
        <v>6390</v>
      </c>
      <c r="G54" s="59"/>
      <c r="H54" s="59">
        <v>6170</v>
      </c>
      <c r="I54" s="275">
        <f t="shared" si="0"/>
        <v>1.0356564019448946</v>
      </c>
    </row>
    <row r="55" spans="2:9" ht="12.75">
      <c r="B55" s="542"/>
      <c r="C55" s="545"/>
      <c r="D55" s="76" t="s">
        <v>255</v>
      </c>
      <c r="E55" s="59"/>
      <c r="F55" s="59">
        <v>87</v>
      </c>
      <c r="G55" s="59">
        <v>300</v>
      </c>
      <c r="H55" s="59">
        <v>300</v>
      </c>
      <c r="I55" s="275">
        <f t="shared" si="0"/>
        <v>0.29</v>
      </c>
    </row>
    <row r="56" spans="2:9" ht="12.75">
      <c r="B56" s="542"/>
      <c r="C56" s="545"/>
      <c r="D56" s="76" t="s">
        <v>366</v>
      </c>
      <c r="E56" s="59"/>
      <c r="F56" s="59">
        <v>103200</v>
      </c>
      <c r="G56" s="59"/>
      <c r="H56" s="59"/>
      <c r="I56" s="275">
        <f t="shared" si="0"/>
        <v>0</v>
      </c>
    </row>
    <row r="57" spans="2:9" ht="13.5" thickBot="1">
      <c r="B57" s="540"/>
      <c r="C57" s="546"/>
      <c r="D57" s="85" t="s">
        <v>362</v>
      </c>
      <c r="E57" s="208"/>
      <c r="F57" s="1"/>
      <c r="G57" s="1">
        <v>54550</v>
      </c>
      <c r="H57" s="1"/>
      <c r="I57" s="275">
        <f t="shared" si="0"/>
        <v>0</v>
      </c>
    </row>
    <row r="58" spans="2:9" ht="15.75" hidden="1" thickBot="1">
      <c r="B58" s="194" t="s">
        <v>157</v>
      </c>
      <c r="C58" s="435" t="s">
        <v>158</v>
      </c>
      <c r="D58" s="436"/>
      <c r="E58" s="41">
        <v>0</v>
      </c>
      <c r="F58" s="41">
        <f>SUM(F59:F59)</f>
        <v>0</v>
      </c>
      <c r="G58" s="41">
        <f>SUM(G59:G59)</f>
        <v>0</v>
      </c>
      <c r="H58" s="41">
        <v>0</v>
      </c>
      <c r="I58" s="282">
        <f t="shared" si="0"/>
        <v>0</v>
      </c>
    </row>
    <row r="59" spans="2:9" ht="13.5" hidden="1" thickBot="1">
      <c r="B59" s="154"/>
      <c r="C59" s="92"/>
      <c r="D59" s="76" t="s">
        <v>221</v>
      </c>
      <c r="E59" s="59">
        <v>0</v>
      </c>
      <c r="F59" s="94"/>
      <c r="G59" s="94"/>
      <c r="H59" s="94">
        <v>0</v>
      </c>
      <c r="I59" s="355">
        <f t="shared" si="0"/>
        <v>0</v>
      </c>
    </row>
    <row r="60" spans="2:12" ht="15.75" thickBot="1">
      <c r="B60" s="190" t="s">
        <v>153</v>
      </c>
      <c r="C60" s="435" t="s">
        <v>154</v>
      </c>
      <c r="D60" s="436"/>
      <c r="E60" s="41">
        <v>138049</v>
      </c>
      <c r="F60" s="41">
        <f>SUM(F61:F61)</f>
        <v>127764</v>
      </c>
      <c r="G60" s="41">
        <f>SUM(G61:G61)</f>
        <v>128000</v>
      </c>
      <c r="H60" s="41">
        <v>128000</v>
      </c>
      <c r="I60" s="282">
        <f t="shared" si="0"/>
        <v>0.99815625</v>
      </c>
      <c r="L60" s="228"/>
    </row>
    <row r="61" spans="2:9" ht="13.5" thickBot="1">
      <c r="B61" s="154"/>
      <c r="C61" s="92"/>
      <c r="D61" s="75" t="s">
        <v>225</v>
      </c>
      <c r="E61" s="57"/>
      <c r="F61" s="57">
        <v>127764</v>
      </c>
      <c r="G61" s="57">
        <v>128000</v>
      </c>
      <c r="H61" s="57">
        <v>128000</v>
      </c>
      <c r="I61" s="274">
        <f t="shared" si="0"/>
        <v>0.99815625</v>
      </c>
    </row>
    <row r="62" spans="2:12" ht="15.75" thickBot="1">
      <c r="B62" s="155" t="s">
        <v>219</v>
      </c>
      <c r="C62" s="435" t="s">
        <v>39</v>
      </c>
      <c r="D62" s="436"/>
      <c r="E62" s="41">
        <v>11074</v>
      </c>
      <c r="F62" s="41">
        <f>SUM(F63:F64)</f>
        <v>15914</v>
      </c>
      <c r="G62" s="41">
        <f>SUM(G63:G64)</f>
        <v>9500</v>
      </c>
      <c r="H62" s="41">
        <v>16300</v>
      </c>
      <c r="I62" s="282">
        <f t="shared" si="0"/>
        <v>0.976319018404908</v>
      </c>
      <c r="L62" s="228"/>
    </row>
    <row r="63" spans="2:11" ht="12.75">
      <c r="B63" s="539"/>
      <c r="C63" s="544"/>
      <c r="D63" s="75" t="s">
        <v>229</v>
      </c>
      <c r="E63" s="57"/>
      <c r="F63" s="57">
        <v>15914</v>
      </c>
      <c r="G63" s="57">
        <v>9500</v>
      </c>
      <c r="H63" s="57">
        <v>16300</v>
      </c>
      <c r="I63" s="274">
        <f t="shared" si="0"/>
        <v>0.976319018404908</v>
      </c>
      <c r="K63" s="228"/>
    </row>
    <row r="64" spans="2:9" ht="13.5" thickBot="1">
      <c r="B64" s="540"/>
      <c r="C64" s="546"/>
      <c r="D64" s="79"/>
      <c r="E64" s="61"/>
      <c r="F64" s="61"/>
      <c r="G64" s="61" t="s">
        <v>90</v>
      </c>
      <c r="H64" s="61">
        <v>0</v>
      </c>
      <c r="I64" s="280">
        <f t="shared" si="0"/>
        <v>0</v>
      </c>
    </row>
    <row r="65" spans="2:9" ht="15.75" thickBot="1">
      <c r="B65" s="424" t="s">
        <v>155</v>
      </c>
      <c r="C65" s="489" t="s">
        <v>44</v>
      </c>
      <c r="D65" s="490"/>
      <c r="E65" s="41">
        <v>279677</v>
      </c>
      <c r="F65" s="41">
        <f>SUM(F66:F74)</f>
        <v>1160065</v>
      </c>
      <c r="G65" s="41">
        <f>SUM(G66:G74)</f>
        <v>3494669</v>
      </c>
      <c r="H65" s="41">
        <v>1649305</v>
      </c>
      <c r="I65" s="282">
        <f t="shared" si="0"/>
        <v>0.7033659632390613</v>
      </c>
    </row>
    <row r="66" spans="2:9" ht="12.75">
      <c r="B66" s="539"/>
      <c r="C66" s="544"/>
      <c r="D66" s="76" t="s">
        <v>260</v>
      </c>
      <c r="E66" s="59"/>
      <c r="F66" s="59">
        <f>21138+538176+22773</f>
        <v>582087</v>
      </c>
      <c r="G66" s="59">
        <v>1518447</v>
      </c>
      <c r="H66" s="59">
        <v>682800</v>
      </c>
      <c r="I66" s="275">
        <f t="shared" si="0"/>
        <v>0.8525</v>
      </c>
    </row>
    <row r="67" spans="2:9" ht="12.75">
      <c r="B67" s="542"/>
      <c r="C67" s="545"/>
      <c r="D67" s="76" t="s">
        <v>349</v>
      </c>
      <c r="E67" s="59"/>
      <c r="F67" s="59">
        <v>29243</v>
      </c>
      <c r="G67" s="59">
        <v>1805975</v>
      </c>
      <c r="H67" s="59">
        <v>29250</v>
      </c>
      <c r="I67" s="275">
        <f t="shared" si="0"/>
        <v>0.9997606837606837</v>
      </c>
    </row>
    <row r="68" spans="2:9" ht="12.75">
      <c r="B68" s="542"/>
      <c r="C68" s="545"/>
      <c r="D68" s="76" t="s">
        <v>261</v>
      </c>
      <c r="E68" s="59"/>
      <c r="F68" s="59">
        <f>93084+302+266005</f>
        <v>359391</v>
      </c>
      <c r="G68" s="59">
        <v>153223</v>
      </c>
      <c r="H68" s="59">
        <v>740302</v>
      </c>
      <c r="I68" s="275">
        <f t="shared" si="0"/>
        <v>0.4854653911511788</v>
      </c>
    </row>
    <row r="69" spans="2:9" ht="12.75">
      <c r="B69" s="542"/>
      <c r="C69" s="545"/>
      <c r="D69" s="76" t="s">
        <v>257</v>
      </c>
      <c r="E69" s="59"/>
      <c r="F69" s="59">
        <v>155308</v>
      </c>
      <c r="G69" s="59"/>
      <c r="H69" s="59">
        <v>158411</v>
      </c>
      <c r="I69" s="275">
        <f t="shared" si="0"/>
        <v>0.9804117138330041</v>
      </c>
    </row>
    <row r="70" spans="2:9" ht="12.75">
      <c r="B70" s="542"/>
      <c r="C70" s="545"/>
      <c r="D70" s="76" t="s">
        <v>323</v>
      </c>
      <c r="E70" s="59"/>
      <c r="F70" s="59">
        <v>0</v>
      </c>
      <c r="G70" s="59"/>
      <c r="H70" s="59">
        <v>2180</v>
      </c>
      <c r="I70" s="275">
        <f t="shared" si="0"/>
        <v>0</v>
      </c>
    </row>
    <row r="71" spans="2:9" ht="12.75">
      <c r="B71" s="542"/>
      <c r="C71" s="545"/>
      <c r="D71" s="76" t="s">
        <v>350</v>
      </c>
      <c r="E71" s="59"/>
      <c r="F71" s="59">
        <v>9962</v>
      </c>
      <c r="G71" s="59"/>
      <c r="H71" s="59">
        <v>10000</v>
      </c>
      <c r="I71" s="275">
        <f t="shared" si="0"/>
        <v>0.9962</v>
      </c>
    </row>
    <row r="72" spans="2:9" ht="12.75">
      <c r="B72" s="542"/>
      <c r="C72" s="545"/>
      <c r="D72" s="93" t="s">
        <v>317</v>
      </c>
      <c r="E72" s="94"/>
      <c r="F72" s="94">
        <v>7050</v>
      </c>
      <c r="G72" s="94"/>
      <c r="H72" s="59">
        <v>7050</v>
      </c>
      <c r="I72" s="275">
        <f t="shared" si="0"/>
        <v>1</v>
      </c>
    </row>
    <row r="73" spans="2:9" ht="12.75">
      <c r="B73" s="542"/>
      <c r="C73" s="545"/>
      <c r="D73" s="93" t="s">
        <v>354</v>
      </c>
      <c r="E73" s="94"/>
      <c r="F73" s="94"/>
      <c r="G73" s="94"/>
      <c r="H73" s="59">
        <v>2288</v>
      </c>
      <c r="I73" s="275">
        <f t="shared" si="0"/>
        <v>0</v>
      </c>
    </row>
    <row r="74" spans="2:9" ht="13.5" thickBot="1">
      <c r="B74" s="552"/>
      <c r="C74" s="553"/>
      <c r="D74" s="93" t="s">
        <v>236</v>
      </c>
      <c r="E74" s="94"/>
      <c r="F74" s="94">
        <v>17024</v>
      </c>
      <c r="G74" s="94">
        <v>17024</v>
      </c>
      <c r="H74" s="94">
        <v>17024</v>
      </c>
      <c r="I74" s="355">
        <f t="shared" si="0"/>
        <v>1</v>
      </c>
    </row>
    <row r="75" spans="2:9" ht="17.25" thickBot="1" thickTop="1">
      <c r="B75" s="439" t="s">
        <v>156</v>
      </c>
      <c r="C75" s="440"/>
      <c r="D75" s="441"/>
      <c r="E75" s="106">
        <f>E65+E60+E62+E58+E49+E46+E40+E35+E32+E20+E9+E7+E4</f>
        <v>4880528</v>
      </c>
      <c r="F75" s="106">
        <f>F65+F60+F62+F58+F49+F46+F40+F35+F32+F20+F9+F7+F4</f>
        <v>5977301</v>
      </c>
      <c r="G75" s="106">
        <f>G65+G60+G62+G58+G49+G46+G40+G35+G32+G20+G9+G7+G4</f>
        <v>7306680</v>
      </c>
      <c r="H75" s="106">
        <v>8527577</v>
      </c>
      <c r="I75" s="292">
        <f>IF(H75=0,0,F75/H75)</f>
        <v>0.7009377927634075</v>
      </c>
    </row>
    <row r="76" ht="13.5" thickTop="1"/>
    <row r="77" ht="12.75">
      <c r="F77" s="434"/>
    </row>
  </sheetData>
  <sheetProtection/>
  <mergeCells count="43">
    <mergeCell ref="B66:B74"/>
    <mergeCell ref="C66:C74"/>
    <mergeCell ref="C49:D49"/>
    <mergeCell ref="B41:B45"/>
    <mergeCell ref="B50:B57"/>
    <mergeCell ref="C50:C57"/>
    <mergeCell ref="C41:C45"/>
    <mergeCell ref="B63:B64"/>
    <mergeCell ref="C63:C64"/>
    <mergeCell ref="C5:C6"/>
    <mergeCell ref="B21:B31"/>
    <mergeCell ref="B33:B34"/>
    <mergeCell ref="C33:C34"/>
    <mergeCell ref="C10:C19"/>
    <mergeCell ref="C7:D7"/>
    <mergeCell ref="C21:C31"/>
    <mergeCell ref="B10:B19"/>
    <mergeCell ref="C32:D32"/>
    <mergeCell ref="C9:D9"/>
    <mergeCell ref="C36:C39"/>
    <mergeCell ref="C47:C48"/>
    <mergeCell ref="C35:D35"/>
    <mergeCell ref="C40:D40"/>
    <mergeCell ref="C46:D46"/>
    <mergeCell ref="B1:I1"/>
    <mergeCell ref="I2:I3"/>
    <mergeCell ref="F2:F3"/>
    <mergeCell ref="G2:G3"/>
    <mergeCell ref="H2:H3"/>
    <mergeCell ref="B2:B3"/>
    <mergeCell ref="E2:E3"/>
    <mergeCell ref="C2:C3"/>
    <mergeCell ref="D2:D3"/>
    <mergeCell ref="C4:D4"/>
    <mergeCell ref="B5:B6"/>
    <mergeCell ref="C65:D65"/>
    <mergeCell ref="B75:D75"/>
    <mergeCell ref="C62:D62"/>
    <mergeCell ref="C60:D60"/>
    <mergeCell ref="C58:D58"/>
    <mergeCell ref="B47:B48"/>
    <mergeCell ref="C20:D20"/>
    <mergeCell ref="B36:B39"/>
  </mergeCells>
  <printOptions/>
  <pageMargins left="0.16" right="0.16" top="0.4330708661417323" bottom="0.07874015748031496" header="0.44" footer="0.15748031496062992"/>
  <pageSetup horizontalDpi="300" verticalDpi="300" orientation="portrait" paperSize="9" scale="84" r:id="rId1"/>
  <ignoredErrors>
    <ignoredError sqref="B35 B40 B20 B49 B46 B7:B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L34"/>
  <sheetViews>
    <sheetView showGridLines="0" zoomScalePageLayoutView="0" workbookViewId="0" topLeftCell="B12">
      <selection activeCell="G32" sqref="G32"/>
    </sheetView>
  </sheetViews>
  <sheetFormatPr defaultColWidth="9.140625" defaultRowHeight="12.75"/>
  <cols>
    <col min="1" max="1" width="0.85546875" style="0" hidden="1" customWidth="1"/>
    <col min="2" max="2" width="9.7109375" style="0" customWidth="1"/>
    <col min="3" max="3" width="9.00390625" style="0" customWidth="1"/>
    <col min="4" max="4" width="31.421875" style="0" customWidth="1"/>
    <col min="5" max="5" width="11.7109375" style="0" customWidth="1"/>
    <col min="6" max="6" width="11.7109375" style="412" customWidth="1"/>
    <col min="7" max="9" width="11.7109375" style="0" customWidth="1"/>
    <col min="11" max="11" width="13.00390625" style="0" customWidth="1"/>
  </cols>
  <sheetData>
    <row r="1" spans="2:9" ht="12.75">
      <c r="B1" s="554" t="s">
        <v>174</v>
      </c>
      <c r="C1" s="554"/>
      <c r="D1" s="554"/>
      <c r="E1" s="554"/>
      <c r="F1" s="554"/>
      <c r="G1" s="554"/>
      <c r="H1" s="554"/>
      <c r="I1" s="554"/>
    </row>
    <row r="2" spans="2:9" ht="13.5" thickBot="1">
      <c r="B2" s="432" t="s">
        <v>175</v>
      </c>
      <c r="C2" s="432"/>
      <c r="D2" s="432"/>
      <c r="E2" s="432"/>
      <c r="F2" s="432"/>
      <c r="G2" s="432"/>
      <c r="H2" s="432"/>
      <c r="I2" s="432"/>
    </row>
    <row r="3" spans="2:9" ht="12.75" customHeight="1" thickTop="1">
      <c r="B3" s="469" t="s">
        <v>114</v>
      </c>
      <c r="C3" s="471" t="s">
        <v>61</v>
      </c>
      <c r="D3" s="467" t="s">
        <v>129</v>
      </c>
      <c r="E3" s="467" t="s">
        <v>356</v>
      </c>
      <c r="F3" s="467" t="s">
        <v>355</v>
      </c>
      <c r="G3" s="467" t="s">
        <v>357</v>
      </c>
      <c r="H3" s="480" t="s">
        <v>305</v>
      </c>
      <c r="I3" s="528" t="s">
        <v>358</v>
      </c>
    </row>
    <row r="4" spans="2:9" ht="27.75" customHeight="1" thickBot="1">
      <c r="B4" s="470"/>
      <c r="C4" s="472"/>
      <c r="D4" s="468"/>
      <c r="E4" s="468"/>
      <c r="F4" s="468"/>
      <c r="G4" s="468"/>
      <c r="H4" s="481"/>
      <c r="I4" s="529"/>
    </row>
    <row r="5" spans="2:9" ht="14.25" thickBot="1" thickTop="1">
      <c r="B5" s="214">
        <v>519</v>
      </c>
      <c r="C5" s="561" t="s">
        <v>168</v>
      </c>
      <c r="D5" s="562"/>
      <c r="E5" s="215">
        <f>SUM(E6:E7)</f>
        <v>1932030</v>
      </c>
      <c r="F5" s="215">
        <f>SUM(F6:F7)</f>
        <v>1218758</v>
      </c>
      <c r="G5" s="215">
        <f>SUM(G6:G7)</f>
        <v>895558</v>
      </c>
      <c r="H5" s="366">
        <v>1677999</v>
      </c>
      <c r="I5" s="367">
        <f>IF(H5=0,0,F5/H5)</f>
        <v>0.7263162850514213</v>
      </c>
    </row>
    <row r="6" spans="2:9" ht="12.75">
      <c r="B6" s="442"/>
      <c r="C6" s="142"/>
      <c r="D6" s="75" t="s">
        <v>169</v>
      </c>
      <c r="E6" s="57">
        <v>186636</v>
      </c>
      <c r="F6" s="57">
        <f>945143+157758</f>
        <v>1102901</v>
      </c>
      <c r="G6" s="57"/>
      <c r="H6" s="57">
        <v>984790</v>
      </c>
      <c r="I6" s="274">
        <f aca="true" t="shared" si="0" ref="I6:I16">IF(H6=0,0,F6/H6)</f>
        <v>1.1199352146142834</v>
      </c>
    </row>
    <row r="7" spans="2:11" ht="13.5" thickBot="1">
      <c r="B7" s="446"/>
      <c r="C7" s="143"/>
      <c r="D7" s="79" t="s">
        <v>170</v>
      </c>
      <c r="E7" s="61">
        <v>1745394</v>
      </c>
      <c r="F7" s="61">
        <v>115857</v>
      </c>
      <c r="G7" s="61">
        <v>895558</v>
      </c>
      <c r="H7" s="61">
        <v>693209</v>
      </c>
      <c r="I7" s="280">
        <f t="shared" si="0"/>
        <v>0.16713141346981936</v>
      </c>
      <c r="K7" s="263"/>
    </row>
    <row r="8" spans="2:9" ht="13.5" thickBot="1">
      <c r="B8" s="156">
        <v>450</v>
      </c>
      <c r="C8" s="559" t="s">
        <v>110</v>
      </c>
      <c r="D8" s="560"/>
      <c r="E8" s="3">
        <f>SUM(E9:E15)</f>
        <v>822908</v>
      </c>
      <c r="F8" s="3">
        <f>SUM(F9:F15)</f>
        <v>3260676</v>
      </c>
      <c r="G8" s="3">
        <f>SUM(G9:G15)</f>
        <v>2434286</v>
      </c>
      <c r="H8" s="3">
        <v>3198566</v>
      </c>
      <c r="I8" s="283">
        <f>IF(H8=0,0,F8/H8)</f>
        <v>1.0194180767256327</v>
      </c>
    </row>
    <row r="9" spans="2:9" ht="12.75">
      <c r="B9" s="442"/>
      <c r="C9" s="142"/>
      <c r="D9" s="144" t="s">
        <v>178</v>
      </c>
      <c r="E9" s="57">
        <v>265949</v>
      </c>
      <c r="F9" s="57">
        <v>41472</v>
      </c>
      <c r="G9" s="57">
        <f>33200+15000</f>
        <v>48200</v>
      </c>
      <c r="H9" s="57">
        <v>63200</v>
      </c>
      <c r="I9" s="274">
        <f t="shared" si="0"/>
        <v>0.6562025316455696</v>
      </c>
    </row>
    <row r="10" spans="2:9" ht="12.75">
      <c r="B10" s="443"/>
      <c r="C10" s="191"/>
      <c r="D10" s="192" t="s">
        <v>226</v>
      </c>
      <c r="E10" s="72">
        <v>545044</v>
      </c>
      <c r="F10" s="72">
        <v>545044</v>
      </c>
      <c r="G10" s="72">
        <v>545088</v>
      </c>
      <c r="H10" s="72">
        <v>545088</v>
      </c>
      <c r="I10" s="279">
        <f t="shared" si="0"/>
        <v>0.999919279088881</v>
      </c>
    </row>
    <row r="11" spans="2:12" ht="12.75">
      <c r="B11" s="443"/>
      <c r="C11" s="191"/>
      <c r="D11" s="192" t="s">
        <v>171</v>
      </c>
      <c r="E11" s="72"/>
      <c r="F11" s="72">
        <f>1164000+903349-40650-12550-366700-30300-160000-14741</f>
        <v>1442408</v>
      </c>
      <c r="G11" s="72">
        <f>2160686+33200+50063-30080-27100+15000+12000-14250+60257-45000+2010-545088</f>
        <v>1671698</v>
      </c>
      <c r="H11" s="72">
        <v>2165978</v>
      </c>
      <c r="I11" s="279">
        <f t="shared" si="0"/>
        <v>0.6659384352010962</v>
      </c>
      <c r="J11" s="43"/>
      <c r="K11" s="43"/>
      <c r="L11" s="43"/>
    </row>
    <row r="12" spans="2:9" ht="12.75">
      <c r="B12" s="443"/>
      <c r="C12" s="191"/>
      <c r="D12" s="192" t="s">
        <v>172</v>
      </c>
      <c r="E12" s="72"/>
      <c r="F12" s="72">
        <v>30032</v>
      </c>
      <c r="G12" s="72">
        <v>39100</v>
      </c>
      <c r="H12" s="72">
        <v>164100</v>
      </c>
      <c r="I12" s="279">
        <f t="shared" si="0"/>
        <v>0.18301035953686776</v>
      </c>
    </row>
    <row r="13" spans="2:11" ht="12.75">
      <c r="B13" s="443"/>
      <c r="C13" s="191"/>
      <c r="D13" s="192"/>
      <c r="E13" s="72"/>
      <c r="F13" s="72">
        <f>14741+5500-20</f>
        <v>20221</v>
      </c>
      <c r="G13" s="72"/>
      <c r="H13" s="72"/>
      <c r="I13" s="279"/>
      <c r="K13" s="43"/>
    </row>
    <row r="14" spans="2:11" ht="12.75">
      <c r="B14" s="443"/>
      <c r="C14" s="145"/>
      <c r="D14" s="146" t="s">
        <v>205</v>
      </c>
      <c r="E14" s="59"/>
      <c r="F14" s="59">
        <v>260000</v>
      </c>
      <c r="G14" s="59">
        <v>130200</v>
      </c>
      <c r="H14" s="59">
        <v>260200</v>
      </c>
      <c r="I14" s="275">
        <f t="shared" si="0"/>
        <v>0.9992313604919293</v>
      </c>
      <c r="K14" s="43"/>
    </row>
    <row r="15" spans="2:10" ht="13.5" thickBot="1">
      <c r="B15" s="462"/>
      <c r="C15" s="145"/>
      <c r="D15" s="146" t="s">
        <v>177</v>
      </c>
      <c r="E15" s="59">
        <v>11915</v>
      </c>
      <c r="F15" s="59">
        <v>921499</v>
      </c>
      <c r="G15" s="59"/>
      <c r="H15" s="59">
        <v>0</v>
      </c>
      <c r="I15" s="275">
        <f t="shared" si="0"/>
        <v>0</v>
      </c>
      <c r="J15" s="43"/>
    </row>
    <row r="16" spans="2:11" ht="14.25" thickBot="1" thickTop="1">
      <c r="B16" s="556" t="s">
        <v>173</v>
      </c>
      <c r="C16" s="557"/>
      <c r="D16" s="558"/>
      <c r="E16" s="207">
        <f>E8+E5</f>
        <v>2754938</v>
      </c>
      <c r="F16" s="207">
        <f>F8+F5</f>
        <v>4479434</v>
      </c>
      <c r="G16" s="207">
        <f>G8+G5</f>
        <v>3329844</v>
      </c>
      <c r="H16" s="207">
        <v>4876565</v>
      </c>
      <c r="I16" s="368">
        <f t="shared" si="0"/>
        <v>0.9185633740142908</v>
      </c>
      <c r="K16" s="408"/>
    </row>
    <row r="17" spans="2:12" ht="13.5" thickTop="1">
      <c r="B17" s="555"/>
      <c r="C17" s="555"/>
      <c r="D17" s="555"/>
      <c r="E17" s="555"/>
      <c r="F17" s="555"/>
      <c r="G17" s="555"/>
      <c r="H17" s="555"/>
      <c r="I17" s="555"/>
      <c r="K17" s="263"/>
      <c r="L17" s="43"/>
    </row>
    <row r="18" spans="2:9" ht="13.5" thickBot="1">
      <c r="B18" s="543" t="s">
        <v>176</v>
      </c>
      <c r="C18" s="543"/>
      <c r="D18" s="543"/>
      <c r="E18" s="543"/>
      <c r="F18" s="543"/>
      <c r="G18" s="543"/>
      <c r="H18" s="543"/>
      <c r="I18" s="543"/>
    </row>
    <row r="19" spans="2:9" ht="16.5" customHeight="1" thickTop="1">
      <c r="B19" s="503" t="s">
        <v>60</v>
      </c>
      <c r="C19" s="487" t="s">
        <v>61</v>
      </c>
      <c r="D19" s="506" t="s">
        <v>62</v>
      </c>
      <c r="E19" s="467" t="s">
        <v>356</v>
      </c>
      <c r="F19" s="467" t="s">
        <v>355</v>
      </c>
      <c r="G19" s="467" t="s">
        <v>357</v>
      </c>
      <c r="H19" s="480" t="s">
        <v>305</v>
      </c>
      <c r="I19" s="528" t="s">
        <v>358</v>
      </c>
    </row>
    <row r="20" spans="2:9" ht="21.75" customHeight="1" thickBot="1">
      <c r="B20" s="504"/>
      <c r="C20" s="488"/>
      <c r="D20" s="507"/>
      <c r="E20" s="468"/>
      <c r="F20" s="468"/>
      <c r="G20" s="468"/>
      <c r="H20" s="481"/>
      <c r="I20" s="529"/>
    </row>
    <row r="21" spans="2:9" ht="14.25" thickBot="1" thickTop="1">
      <c r="B21" s="160" t="s">
        <v>6</v>
      </c>
      <c r="C21" s="561" t="s">
        <v>168</v>
      </c>
      <c r="D21" s="562"/>
      <c r="E21" s="195">
        <f>SUM(E22:E28)</f>
        <v>1303204</v>
      </c>
      <c r="F21" s="425">
        <f>SUM(F22:F28)</f>
        <v>978096</v>
      </c>
      <c r="G21" s="195">
        <f>SUM(G22:G28)</f>
        <v>287124</v>
      </c>
      <c r="H21" s="365">
        <v>1271914</v>
      </c>
      <c r="I21" s="369">
        <f aca="true" t="shared" si="1" ref="I21:I29">IF(H21=0,0,F21/H21)</f>
        <v>0.7689953880529659</v>
      </c>
    </row>
    <row r="22" spans="2:9" ht="12.75">
      <c r="B22" s="563"/>
      <c r="C22" s="157"/>
      <c r="D22" s="157" t="s">
        <v>188</v>
      </c>
      <c r="E22" s="389">
        <v>326854</v>
      </c>
      <c r="F22" s="389">
        <v>199897</v>
      </c>
      <c r="G22" s="389">
        <f>212872</f>
        <v>212872</v>
      </c>
      <c r="H22" s="200">
        <v>212872</v>
      </c>
      <c r="I22" s="370">
        <f t="shared" si="1"/>
        <v>0.939047878537337</v>
      </c>
    </row>
    <row r="23" spans="2:9" ht="12.75">
      <c r="B23" s="564"/>
      <c r="C23" s="226"/>
      <c r="D23" s="226" t="s">
        <v>340</v>
      </c>
      <c r="E23" s="390"/>
      <c r="F23" s="390">
        <f>427762+63021</f>
        <v>490783</v>
      </c>
      <c r="G23" s="390"/>
      <c r="H23" s="227">
        <v>984790</v>
      </c>
      <c r="I23" s="371">
        <f t="shared" si="1"/>
        <v>0.49836310279348894</v>
      </c>
    </row>
    <row r="24" spans="2:9" ht="12.75">
      <c r="B24" s="564"/>
      <c r="C24" s="226"/>
      <c r="D24" s="236" t="s">
        <v>275</v>
      </c>
      <c r="E24" s="390"/>
      <c r="F24" s="390">
        <v>52527</v>
      </c>
      <c r="G24" s="390">
        <v>51922</v>
      </c>
      <c r="H24" s="201">
        <v>51922</v>
      </c>
      <c r="I24" s="372">
        <f t="shared" si="1"/>
        <v>1.0116520935249027</v>
      </c>
    </row>
    <row r="25" spans="2:9" ht="12.75">
      <c r="B25" s="564"/>
      <c r="C25" s="158"/>
      <c r="D25" s="209" t="s">
        <v>239</v>
      </c>
      <c r="E25" s="390"/>
      <c r="F25" s="391"/>
      <c r="G25" s="391"/>
      <c r="H25" s="201">
        <v>0</v>
      </c>
      <c r="I25" s="372">
        <f t="shared" si="1"/>
        <v>0</v>
      </c>
    </row>
    <row r="26" spans="2:9" s="199" customFormat="1" ht="12.75">
      <c r="B26" s="564"/>
      <c r="C26" s="198"/>
      <c r="D26" s="202" t="s">
        <v>220</v>
      </c>
      <c r="E26" s="390">
        <v>73230</v>
      </c>
      <c r="F26" s="391">
        <v>22330</v>
      </c>
      <c r="G26" s="391">
        <f>16993+4520+817</f>
        <v>22330</v>
      </c>
      <c r="H26" s="201">
        <v>22330</v>
      </c>
      <c r="I26" s="372">
        <f t="shared" si="1"/>
        <v>1</v>
      </c>
    </row>
    <row r="27" spans="2:9" ht="12.75">
      <c r="B27" s="564"/>
      <c r="C27" s="158"/>
      <c r="D27" s="158" t="s">
        <v>372</v>
      </c>
      <c r="E27" s="196"/>
      <c r="F27" s="426">
        <v>212559</v>
      </c>
      <c r="G27" s="196"/>
      <c r="H27" s="196">
        <v>0</v>
      </c>
      <c r="I27" s="373">
        <f t="shared" si="1"/>
        <v>0</v>
      </c>
    </row>
    <row r="28" spans="2:11" ht="13.5" thickBot="1">
      <c r="B28" s="565"/>
      <c r="C28" s="159"/>
      <c r="D28" s="159" t="s">
        <v>365</v>
      </c>
      <c r="E28" s="197">
        <v>903120</v>
      </c>
      <c r="F28" s="427"/>
      <c r="G28" s="197"/>
      <c r="H28" s="197">
        <v>0</v>
      </c>
      <c r="I28" s="374">
        <f t="shared" si="1"/>
        <v>0</v>
      </c>
      <c r="K28" s="43"/>
    </row>
    <row r="29" spans="2:11" ht="14.25" thickBot="1" thickTop="1">
      <c r="B29" s="556" t="s">
        <v>173</v>
      </c>
      <c r="C29" s="557"/>
      <c r="D29" s="558"/>
      <c r="E29" s="207">
        <f>E21</f>
        <v>1303204</v>
      </c>
      <c r="F29" s="207">
        <f>F21</f>
        <v>978096</v>
      </c>
      <c r="G29" s="207">
        <f>G21</f>
        <v>287124</v>
      </c>
      <c r="H29" s="207">
        <v>1271914</v>
      </c>
      <c r="I29" s="368">
        <f t="shared" si="1"/>
        <v>0.7689953880529659</v>
      </c>
      <c r="K29" s="408"/>
    </row>
    <row r="30" ht="13.5" thickTop="1"/>
    <row r="32" ht="12.75">
      <c r="F32" s="410"/>
    </row>
    <row r="34" ht="12.75">
      <c r="F34" s="410"/>
    </row>
  </sheetData>
  <sheetProtection/>
  <mergeCells count="28">
    <mergeCell ref="I3:I4"/>
    <mergeCell ref="C21:D21"/>
    <mergeCell ref="B22:B28"/>
    <mergeCell ref="B9:B15"/>
    <mergeCell ref="B6:B7"/>
    <mergeCell ref="B18:I18"/>
    <mergeCell ref="F19:F20"/>
    <mergeCell ref="G19:G20"/>
    <mergeCell ref="B29:D29"/>
    <mergeCell ref="B2:I2"/>
    <mergeCell ref="I19:I20"/>
    <mergeCell ref="B19:B20"/>
    <mergeCell ref="C19:C20"/>
    <mergeCell ref="D19:D20"/>
    <mergeCell ref="E19:E20"/>
    <mergeCell ref="H19:H20"/>
    <mergeCell ref="G3:G4"/>
    <mergeCell ref="H3:H4"/>
    <mergeCell ref="B1:I1"/>
    <mergeCell ref="B17:I17"/>
    <mergeCell ref="B16:D16"/>
    <mergeCell ref="B3:B4"/>
    <mergeCell ref="C8:D8"/>
    <mergeCell ref="C3:C4"/>
    <mergeCell ref="E3:E4"/>
    <mergeCell ref="C5:D5"/>
    <mergeCell ref="D3:D4"/>
    <mergeCell ref="F3:F4"/>
  </mergeCells>
  <printOptions/>
  <pageMargins left="0.28" right="0.26" top="1" bottom="1" header="0.4921259845" footer="0.4921259845"/>
  <pageSetup horizontalDpi="300" verticalDpi="300" orientation="portrait" paperSize="9" scale="90" r:id="rId1"/>
  <ignoredErrors>
    <ignoredError sqref="E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21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/>
  <cols>
    <col min="1" max="1" width="37.7109375" style="0" customWidth="1"/>
    <col min="2" max="2" width="12.00390625" style="0" customWidth="1"/>
    <col min="3" max="3" width="12.28125" style="0" customWidth="1"/>
    <col min="4" max="6" width="12.00390625" style="0" customWidth="1"/>
    <col min="7" max="7" width="9.57421875" style="0" bestFit="1" customWidth="1"/>
    <col min="8" max="8" width="13.57421875" style="0" customWidth="1"/>
  </cols>
  <sheetData>
    <row r="1" spans="1:6" ht="15">
      <c r="A1" s="566" t="s">
        <v>208</v>
      </c>
      <c r="B1" s="566"/>
      <c r="C1" s="566"/>
      <c r="D1" s="566"/>
      <c r="E1" s="566"/>
      <c r="F1" s="566"/>
    </row>
    <row r="2" spans="1:6" ht="9" customHeight="1" thickBot="1">
      <c r="A2" s="567"/>
      <c r="B2" s="567"/>
      <c r="C2" s="567"/>
      <c r="D2" s="567"/>
      <c r="E2" s="567"/>
      <c r="F2" s="567"/>
    </row>
    <row r="3" spans="1:6" ht="13.5" customHeight="1" thickTop="1">
      <c r="A3" s="568" t="s">
        <v>129</v>
      </c>
      <c r="B3" s="467" t="s">
        <v>356</v>
      </c>
      <c r="C3" s="467" t="s">
        <v>355</v>
      </c>
      <c r="D3" s="467" t="s">
        <v>357</v>
      </c>
      <c r="E3" s="480" t="s">
        <v>305</v>
      </c>
      <c r="F3" s="528" t="s">
        <v>358</v>
      </c>
    </row>
    <row r="4" spans="1:6" ht="25.5" customHeight="1" thickBot="1">
      <c r="A4" s="569"/>
      <c r="B4" s="468"/>
      <c r="C4" s="468"/>
      <c r="D4" s="468"/>
      <c r="E4" s="481"/>
      <c r="F4" s="529"/>
    </row>
    <row r="5" spans="1:7" ht="13.5" thickTop="1">
      <c r="A5" s="245" t="s">
        <v>195</v>
      </c>
      <c r="B5" s="246">
        <f>'BEŽNÉ PRÍJMY'!E100</f>
        <v>9080838</v>
      </c>
      <c r="C5" s="246">
        <f>'BEŽNÉ PRÍJMY'!F100</f>
        <v>8537685</v>
      </c>
      <c r="D5" s="246">
        <f>'BEŽNÉ PRÍJMY'!G100</f>
        <v>8073872</v>
      </c>
      <c r="E5" s="246">
        <f>'BEŽNÉ PRÍJMY'!H100</f>
        <v>8527743</v>
      </c>
      <c r="F5" s="379">
        <f>C5/E5</f>
        <v>1.0011658418880587</v>
      </c>
      <c r="G5" s="43"/>
    </row>
    <row r="6" spans="1:7" ht="13.5" thickBot="1">
      <c r="A6" s="247" t="s">
        <v>196</v>
      </c>
      <c r="B6" s="197">
        <f>'BEŽNÉ VÝDAVKY'!E169</f>
        <v>8716285.43</v>
      </c>
      <c r="C6" s="197">
        <f>'BEŽNÉ VÝDAVKY'!F169</f>
        <v>9309387</v>
      </c>
      <c r="D6" s="197">
        <f>'BEŽNÉ VÝDAVKY'!G169</f>
        <v>8537009</v>
      </c>
      <c r="E6" s="197">
        <f>'BEŽNÉ VÝDAVKY'!H169</f>
        <v>9227016</v>
      </c>
      <c r="F6" s="380">
        <f>C6/E6</f>
        <v>1.008927154781134</v>
      </c>
      <c r="G6" s="43"/>
    </row>
    <row r="7" spans="1:7" ht="15.75" customHeight="1" thickBot="1">
      <c r="A7" s="248" t="s">
        <v>197</v>
      </c>
      <c r="B7" s="249">
        <f>B5-B6</f>
        <v>364552.5700000003</v>
      </c>
      <c r="C7" s="249">
        <f>C5-C6</f>
        <v>-771702</v>
      </c>
      <c r="D7" s="249">
        <f>D5-D6</f>
        <v>-463137</v>
      </c>
      <c r="E7" s="249">
        <f>E5-E6</f>
        <v>-699273</v>
      </c>
      <c r="F7" s="378"/>
      <c r="G7" s="43"/>
    </row>
    <row r="8" spans="1:6" ht="14.25" thickBot="1" thickTop="1">
      <c r="A8" s="570"/>
      <c r="B8" s="571"/>
      <c r="C8" s="571"/>
      <c r="D8" s="571"/>
      <c r="E8" s="571"/>
      <c r="F8" s="572"/>
    </row>
    <row r="9" spans="1:7" ht="13.5" thickTop="1">
      <c r="A9" s="245" t="s">
        <v>198</v>
      </c>
      <c r="B9" s="246">
        <f>'KAPITÁLOVÉ PRÍJMY'!E38</f>
        <v>4391413</v>
      </c>
      <c r="C9" s="246">
        <f>'KAPITÁLOVÉ PRÍJMY'!F38</f>
        <v>3456141</v>
      </c>
      <c r="D9" s="246">
        <f>'KAPITÁLOVÉ PRÍJMY'!G38</f>
        <v>4727097</v>
      </c>
      <c r="E9" s="246">
        <f>'KAPITÁLOVÉ PRÍJMY'!H38</f>
        <v>5919606</v>
      </c>
      <c r="F9" s="379">
        <f>C9/E9</f>
        <v>0.583846458700123</v>
      </c>
      <c r="G9" s="43"/>
    </row>
    <row r="10" spans="1:7" ht="13.5" thickBot="1">
      <c r="A10" s="247" t="s">
        <v>199</v>
      </c>
      <c r="B10" s="197">
        <f>'KAPITÁLVÉ VÝDAVKY'!E75</f>
        <v>4880528</v>
      </c>
      <c r="C10" s="197">
        <f>'KAPITÁLVÉ VÝDAVKY'!F75</f>
        <v>5977301</v>
      </c>
      <c r="D10" s="197">
        <f>'KAPITÁLVÉ VÝDAVKY'!G75</f>
        <v>7306680</v>
      </c>
      <c r="E10" s="197">
        <f>'KAPITÁLVÉ VÝDAVKY'!H75</f>
        <v>8527577</v>
      </c>
      <c r="F10" s="380">
        <f>C10/E10</f>
        <v>0.7009377927634075</v>
      </c>
      <c r="G10" s="43"/>
    </row>
    <row r="11" spans="1:6" ht="16.5" customHeight="1" thickBot="1">
      <c r="A11" s="248" t="s">
        <v>200</v>
      </c>
      <c r="B11" s="249">
        <f>B9-B10</f>
        <v>-489115</v>
      </c>
      <c r="C11" s="249">
        <f>C9-C10</f>
        <v>-2521160</v>
      </c>
      <c r="D11" s="249">
        <f>D9-D10</f>
        <v>-2579583</v>
      </c>
      <c r="E11" s="249">
        <f>E9-E10</f>
        <v>-2607971</v>
      </c>
      <c r="F11" s="378"/>
    </row>
    <row r="12" spans="1:6" ht="14.25" thickBot="1" thickTop="1">
      <c r="A12" s="570"/>
      <c r="B12" s="571"/>
      <c r="C12" s="571"/>
      <c r="D12" s="571"/>
      <c r="E12" s="571"/>
      <c r="F12" s="572"/>
    </row>
    <row r="13" spans="1:6" ht="13.5" thickTop="1">
      <c r="A13" s="245" t="s">
        <v>201</v>
      </c>
      <c r="B13" s="246">
        <f>'FINANČNÉ OPERÁCIE'!E16</f>
        <v>2754938</v>
      </c>
      <c r="C13" s="246">
        <f>'FINANČNÉ OPERÁCIE'!F16</f>
        <v>4479434</v>
      </c>
      <c r="D13" s="246">
        <f>'FINANČNÉ OPERÁCIE'!G16</f>
        <v>3329844</v>
      </c>
      <c r="E13" s="246">
        <f>'FINANČNÉ OPERÁCIE'!H16</f>
        <v>4876565</v>
      </c>
      <c r="F13" s="379">
        <f>C13/E13</f>
        <v>0.9185633740142908</v>
      </c>
    </row>
    <row r="14" spans="1:6" ht="13.5" thickBot="1">
      <c r="A14" s="247" t="s">
        <v>202</v>
      </c>
      <c r="B14" s="197">
        <f>'FINANČNÉ OPERÁCIE'!E29</f>
        <v>1303204</v>
      </c>
      <c r="C14" s="197">
        <f>'FINANČNÉ OPERÁCIE'!F29</f>
        <v>978096</v>
      </c>
      <c r="D14" s="197">
        <f>'FINANČNÉ OPERÁCIE'!G29</f>
        <v>287124</v>
      </c>
      <c r="E14" s="197">
        <f>'FINANČNÉ OPERÁCIE'!H29</f>
        <v>1271914</v>
      </c>
      <c r="F14" s="380">
        <f>C14/E14</f>
        <v>0.7689953880529659</v>
      </c>
    </row>
    <row r="15" spans="1:6" ht="15.75" customHeight="1" thickBot="1">
      <c r="A15" s="248" t="s">
        <v>203</v>
      </c>
      <c r="B15" s="249">
        <f>B13-B14</f>
        <v>1451734</v>
      </c>
      <c r="C15" s="249">
        <f>C13-C14</f>
        <v>3501338</v>
      </c>
      <c r="D15" s="249">
        <f>D13-D14</f>
        <v>3042720</v>
      </c>
      <c r="E15" s="249">
        <f>E13-E14</f>
        <v>3604651</v>
      </c>
      <c r="F15" s="378"/>
    </row>
    <row r="16" spans="1:6" ht="14.25" thickBot="1" thickTop="1">
      <c r="A16" s="573"/>
      <c r="B16" s="574"/>
      <c r="C16" s="574"/>
      <c r="D16" s="574"/>
      <c r="E16" s="574"/>
      <c r="F16" s="575"/>
    </row>
    <row r="17" spans="1:6" ht="16.5" customHeight="1" thickBot="1" thickTop="1">
      <c r="A17" s="576" t="s">
        <v>306</v>
      </c>
      <c r="B17" s="577"/>
      <c r="C17" s="577"/>
      <c r="D17" s="577"/>
      <c r="E17" s="577"/>
      <c r="F17" s="578"/>
    </row>
    <row r="18" spans="1:7" ht="17.25" thickBot="1" thickTop="1">
      <c r="A18" s="376" t="s">
        <v>204</v>
      </c>
      <c r="B18" s="377">
        <f>B15+B11+B7</f>
        <v>1327171.5700000003</v>
      </c>
      <c r="C18" s="377">
        <f>C15+C11+C7</f>
        <v>208476</v>
      </c>
      <c r="D18" s="377">
        <f>D15+D11+D7</f>
        <v>0</v>
      </c>
      <c r="E18" s="377">
        <f>E15+E11+E7</f>
        <v>297407</v>
      </c>
      <c r="F18" s="381"/>
      <c r="G18" s="43"/>
    </row>
    <row r="19" ht="13.5" thickTop="1"/>
    <row r="21" ht="12.75">
      <c r="C21" s="263"/>
    </row>
  </sheetData>
  <sheetProtection/>
  <mergeCells count="12">
    <mergeCell ref="A8:F8"/>
    <mergeCell ref="A12:F12"/>
    <mergeCell ref="A16:F16"/>
    <mergeCell ref="A17:F17"/>
    <mergeCell ref="A1:F1"/>
    <mergeCell ref="A2:F2"/>
    <mergeCell ref="E3:E4"/>
    <mergeCell ref="C3:C4"/>
    <mergeCell ref="D3:D4"/>
    <mergeCell ref="A3:A4"/>
    <mergeCell ref="B3:B4"/>
    <mergeCell ref="F3:F4"/>
  </mergeCells>
  <printOptions/>
  <pageMargins left="0.37" right="0.34" top="1" bottom="1" header="0.4921259845" footer="0.4921259845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kamenicky</cp:lastModifiedBy>
  <cp:lastPrinted>2011-04-04T10:50:36Z</cp:lastPrinted>
  <dcterms:created xsi:type="dcterms:W3CDTF">2006-09-20T05:43:56Z</dcterms:created>
  <dcterms:modified xsi:type="dcterms:W3CDTF">2011-04-05T11:19:55Z</dcterms:modified>
  <cp:category/>
  <cp:version/>
  <cp:contentType/>
  <cp:contentStatus/>
</cp:coreProperties>
</file>