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85" yWindow="375" windowWidth="15795" windowHeight="12600"/>
  </bookViews>
  <sheets>
    <sheet name="Bežné príjmy" sheetId="1" r:id="rId1"/>
    <sheet name="bežné výdavky" sheetId="2" r:id="rId2"/>
    <sheet name="Kapitálové príjmy" sheetId="3" r:id="rId3"/>
    <sheet name="Kapitálové výdavky" sheetId="4" r:id="rId4"/>
    <sheet name="Fin operácie - príjmy" sheetId="5" r:id="rId5"/>
    <sheet name="Finančné operácie - výdavky" sheetId="6" r:id="rId6"/>
    <sheet name="HOSP." sheetId="7" r:id="rId7"/>
    <sheet name="Zdroje krytia" sheetId="8" r:id="rId8"/>
  </sheets>
  <externalReferences>
    <externalReference r:id="rId9"/>
  </externalReferences>
  <calcPr calcId="144525"/>
</workbook>
</file>

<file path=xl/calcChain.xml><?xml version="1.0" encoding="utf-8"?>
<calcChain xmlns="http://schemas.openxmlformats.org/spreadsheetml/2006/main">
  <c r="N214" i="2" l="1"/>
  <c r="M214" i="2"/>
  <c r="L214" i="2"/>
  <c r="K203" i="2"/>
  <c r="K201" i="2"/>
  <c r="J196" i="2"/>
  <c r="Q193" i="2"/>
  <c r="P193" i="2"/>
  <c r="P192" i="2" s="1"/>
  <c r="O193" i="2"/>
  <c r="N193" i="2"/>
  <c r="N192" i="2" s="1"/>
  <c r="N210" i="2" s="1"/>
  <c r="M193" i="2"/>
  <c r="L193" i="2"/>
  <c r="L192" i="2" s="1"/>
  <c r="K193" i="2"/>
  <c r="J193" i="2"/>
  <c r="J192" i="2" s="1"/>
  <c r="I193" i="2"/>
  <c r="H193" i="2"/>
  <c r="Q192" i="2"/>
  <c r="O192" i="2"/>
  <c r="M192" i="2"/>
  <c r="K192" i="2"/>
  <c r="I192" i="2"/>
  <c r="Q187" i="2"/>
  <c r="P187" i="2"/>
  <c r="O187" i="2"/>
  <c r="N187" i="2"/>
  <c r="M187" i="2"/>
  <c r="L187" i="2"/>
  <c r="K187" i="2"/>
  <c r="J187" i="2"/>
  <c r="I187" i="2"/>
  <c r="H187" i="2"/>
  <c r="Q181" i="2"/>
  <c r="P181" i="2"/>
  <c r="O181" i="2"/>
  <c r="N181" i="2"/>
  <c r="M181" i="2"/>
  <c r="L181" i="2"/>
  <c r="K181" i="2"/>
  <c r="J181" i="2"/>
  <c r="I181" i="2"/>
  <c r="H181" i="2"/>
  <c r="Q179" i="2"/>
  <c r="P179" i="2"/>
  <c r="O179" i="2"/>
  <c r="N179" i="2"/>
  <c r="M179" i="2"/>
  <c r="K179" i="2"/>
  <c r="K171" i="2" s="1"/>
  <c r="J179" i="2"/>
  <c r="I179" i="2"/>
  <c r="J175" i="2"/>
  <c r="I175" i="2"/>
  <c r="I174" i="2"/>
  <c r="I172" i="2" s="1"/>
  <c r="I171" i="2" s="1"/>
  <c r="Q172" i="2"/>
  <c r="P172" i="2"/>
  <c r="O172" i="2"/>
  <c r="N172" i="2"/>
  <c r="M172" i="2"/>
  <c r="L172" i="2"/>
  <c r="K172" i="2"/>
  <c r="J172" i="2"/>
  <c r="Q171" i="2"/>
  <c r="P171" i="2"/>
  <c r="O171" i="2"/>
  <c r="N171" i="2"/>
  <c r="M171" i="2"/>
  <c r="L171" i="2"/>
  <c r="J171" i="2"/>
  <c r="I169" i="2"/>
  <c r="Q166" i="2"/>
  <c r="P166" i="2"/>
  <c r="O166" i="2"/>
  <c r="N166" i="2"/>
  <c r="M166" i="2"/>
  <c r="L166" i="2"/>
  <c r="K166" i="2"/>
  <c r="J166" i="2"/>
  <c r="I166" i="2"/>
  <c r="Q156" i="2"/>
  <c r="P156" i="2"/>
  <c r="O156" i="2"/>
  <c r="N156" i="2"/>
  <c r="M156" i="2"/>
  <c r="L156" i="2"/>
  <c r="K156" i="2"/>
  <c r="J156" i="2"/>
  <c r="I156" i="2"/>
  <c r="Q151" i="2"/>
  <c r="P151" i="2"/>
  <c r="O151" i="2"/>
  <c r="N151" i="2"/>
  <c r="M151" i="2"/>
  <c r="L151" i="2"/>
  <c r="K151" i="2"/>
  <c r="J151" i="2"/>
  <c r="I151" i="2"/>
  <c r="Q150" i="2"/>
  <c r="P150" i="2"/>
  <c r="O150" i="2"/>
  <c r="N150" i="2"/>
  <c r="M150" i="2"/>
  <c r="L150" i="2"/>
  <c r="K150" i="2"/>
  <c r="J150" i="2"/>
  <c r="I150" i="2"/>
  <c r="Q145" i="2"/>
  <c r="P145" i="2"/>
  <c r="O145" i="2"/>
  <c r="N145" i="2"/>
  <c r="M145" i="2"/>
  <c r="L145" i="2"/>
  <c r="K145" i="2"/>
  <c r="J145" i="2"/>
  <c r="I145" i="2"/>
  <c r="G145" i="2"/>
  <c r="F145" i="2"/>
  <c r="E145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Q127" i="2"/>
  <c r="P127" i="2"/>
  <c r="O127" i="2"/>
  <c r="N127" i="2"/>
  <c r="M127" i="2"/>
  <c r="L127" i="2"/>
  <c r="K127" i="2"/>
  <c r="J127" i="2"/>
  <c r="I127" i="2"/>
  <c r="F127" i="2"/>
  <c r="E127" i="2"/>
  <c r="P126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K118" i="2"/>
  <c r="Q115" i="2"/>
  <c r="P115" i="2"/>
  <c r="O115" i="2"/>
  <c r="N115" i="2"/>
  <c r="M115" i="2"/>
  <c r="L115" i="2"/>
  <c r="K115" i="2"/>
  <c r="J115" i="2"/>
  <c r="I115" i="2"/>
  <c r="Q112" i="2"/>
  <c r="P112" i="2"/>
  <c r="O112" i="2"/>
  <c r="N112" i="2"/>
  <c r="M112" i="2"/>
  <c r="K112" i="2"/>
  <c r="J112" i="2"/>
  <c r="I112" i="2"/>
  <c r="G112" i="2"/>
  <c r="F112" i="2"/>
  <c r="E112" i="2"/>
  <c r="D112" i="2"/>
  <c r="Q110" i="2"/>
  <c r="P110" i="2"/>
  <c r="O110" i="2"/>
  <c r="N110" i="2"/>
  <c r="M110" i="2"/>
  <c r="K110" i="2"/>
  <c r="J110" i="2"/>
  <c r="I110" i="2"/>
  <c r="G110" i="2"/>
  <c r="F110" i="2"/>
  <c r="E110" i="2"/>
  <c r="D110" i="2"/>
  <c r="K108" i="2"/>
  <c r="K103" i="2"/>
  <c r="Q91" i="2"/>
  <c r="P91" i="2"/>
  <c r="O91" i="2"/>
  <c r="N91" i="2"/>
  <c r="M91" i="2"/>
  <c r="L91" i="2"/>
  <c r="K91" i="2"/>
  <c r="J91" i="2"/>
  <c r="I91" i="2"/>
  <c r="Q86" i="2"/>
  <c r="P86" i="2"/>
  <c r="O86" i="2"/>
  <c r="N86" i="2"/>
  <c r="M86" i="2"/>
  <c r="L86" i="2"/>
  <c r="K86" i="2"/>
  <c r="J86" i="2"/>
  <c r="I86" i="2"/>
  <c r="Q81" i="2"/>
  <c r="P81" i="2"/>
  <c r="O81" i="2"/>
  <c r="N81" i="2"/>
  <c r="M81" i="2"/>
  <c r="L81" i="2"/>
  <c r="K81" i="2"/>
  <c r="J81" i="2"/>
  <c r="I81" i="2"/>
  <c r="H81" i="2"/>
  <c r="M79" i="2"/>
  <c r="K79" i="2"/>
  <c r="Q74" i="2"/>
  <c r="P74" i="2"/>
  <c r="O74" i="2"/>
  <c r="N74" i="2"/>
  <c r="M74" i="2"/>
  <c r="L74" i="2"/>
  <c r="K74" i="2"/>
  <c r="J74" i="2"/>
  <c r="I74" i="2"/>
  <c r="H74" i="2"/>
  <c r="Q70" i="2"/>
  <c r="P70" i="2"/>
  <c r="O70" i="2"/>
  <c r="N70" i="2"/>
  <c r="Q57" i="2"/>
  <c r="P57" i="2"/>
  <c r="O57" i="2"/>
  <c r="N57" i="2"/>
  <c r="M57" i="2"/>
  <c r="L57" i="2"/>
  <c r="K57" i="2"/>
  <c r="J57" i="2"/>
  <c r="I57" i="2"/>
  <c r="Q56" i="2"/>
  <c r="P56" i="2"/>
  <c r="O56" i="2"/>
  <c r="N56" i="2"/>
  <c r="M56" i="2"/>
  <c r="L56" i="2"/>
  <c r="K56" i="2"/>
  <c r="J56" i="2"/>
  <c r="I56" i="2"/>
  <c r="Q50" i="2"/>
  <c r="P50" i="2"/>
  <c r="O50" i="2"/>
  <c r="N50" i="2"/>
  <c r="M50" i="2"/>
  <c r="L50" i="2"/>
  <c r="K50" i="2"/>
  <c r="J50" i="2"/>
  <c r="I50" i="2"/>
  <c r="K46" i="2"/>
  <c r="Q43" i="2"/>
  <c r="P43" i="2"/>
  <c r="O43" i="2"/>
  <c r="N43" i="2"/>
  <c r="M43" i="2"/>
  <c r="L43" i="2"/>
  <c r="K43" i="2"/>
  <c r="J43" i="2"/>
  <c r="I43" i="2"/>
  <c r="H43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Q36" i="2"/>
  <c r="P36" i="2"/>
  <c r="O36" i="2"/>
  <c r="N36" i="2"/>
  <c r="M36" i="2"/>
  <c r="L36" i="2"/>
  <c r="K36" i="2"/>
  <c r="J36" i="2"/>
  <c r="I36" i="2"/>
  <c r="H36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H32" i="2"/>
  <c r="Q29" i="2"/>
  <c r="P29" i="2"/>
  <c r="O29" i="2"/>
  <c r="N29" i="2"/>
  <c r="M29" i="2"/>
  <c r="L29" i="2"/>
  <c r="K29" i="2"/>
  <c r="J29" i="2"/>
  <c r="I29" i="2"/>
  <c r="H29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Q19" i="2"/>
  <c r="P19" i="2"/>
  <c r="O19" i="2"/>
  <c r="N19" i="2"/>
  <c r="M19" i="2"/>
  <c r="L19" i="2"/>
  <c r="K19" i="2"/>
  <c r="J19" i="2"/>
  <c r="I19" i="2"/>
  <c r="H19" i="2"/>
  <c r="Q14" i="2"/>
  <c r="P14" i="2"/>
  <c r="O14" i="2"/>
  <c r="N14" i="2"/>
  <c r="M14" i="2"/>
  <c r="L14" i="2"/>
  <c r="K14" i="2"/>
  <c r="J14" i="2"/>
  <c r="I14" i="2"/>
  <c r="H14" i="2"/>
  <c r="Q10" i="2"/>
  <c r="P10" i="2"/>
  <c r="O10" i="2"/>
  <c r="N10" i="2"/>
  <c r="M10" i="2"/>
  <c r="L10" i="2"/>
  <c r="K10" i="2"/>
  <c r="J10" i="2"/>
  <c r="I10" i="2"/>
  <c r="H10" i="2"/>
  <c r="Q4" i="2"/>
  <c r="Q207" i="2" s="1"/>
  <c r="P4" i="2"/>
  <c r="O4" i="2"/>
  <c r="O207" i="2" s="1"/>
  <c r="N4" i="2"/>
  <c r="M4" i="2"/>
  <c r="M207" i="2" s="1"/>
  <c r="L4" i="2"/>
  <c r="K4" i="2"/>
  <c r="J4" i="2"/>
  <c r="I4" i="2"/>
  <c r="H4" i="2"/>
  <c r="H207" i="2" s="1"/>
  <c r="G4" i="2"/>
  <c r="G207" i="2" s="1"/>
  <c r="F4" i="2"/>
  <c r="F207" i="2" s="1"/>
  <c r="E4" i="2"/>
  <c r="E207" i="2" s="1"/>
  <c r="D4" i="2"/>
  <c r="D207" i="2" s="1"/>
  <c r="I207" i="2" l="1"/>
  <c r="K207" i="2"/>
  <c r="J207" i="2"/>
  <c r="L207" i="2"/>
  <c r="N207" i="2"/>
  <c r="P207" i="2"/>
  <c r="N216" i="2"/>
  <c r="I24" i="8"/>
  <c r="F24" i="8"/>
  <c r="E24" i="8"/>
  <c r="D24" i="8"/>
  <c r="C24" i="8"/>
  <c r="B24" i="8"/>
  <c r="K23" i="8"/>
  <c r="K22" i="8"/>
  <c r="K21" i="8"/>
  <c r="K20" i="8"/>
  <c r="K19" i="8"/>
  <c r="K18" i="8"/>
  <c r="K17" i="8"/>
  <c r="K16" i="8"/>
  <c r="K15" i="8"/>
  <c r="K14" i="8"/>
  <c r="K13" i="8"/>
  <c r="J13" i="8"/>
  <c r="J24" i="8" s="1"/>
  <c r="K12" i="8"/>
  <c r="K11" i="8"/>
  <c r="K10" i="8"/>
  <c r="K9" i="8"/>
  <c r="H8" i="8"/>
  <c r="K8" i="8" s="1"/>
  <c r="K7" i="8"/>
  <c r="K6" i="8"/>
  <c r="K5" i="8"/>
  <c r="G4" i="8"/>
  <c r="G24" i="8" s="1"/>
  <c r="H3" i="8"/>
  <c r="J82" i="7"/>
  <c r="J69" i="7"/>
  <c r="S15" i="7"/>
  <c r="R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S14" i="7"/>
  <c r="R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S11" i="7"/>
  <c r="R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S10" i="7"/>
  <c r="R10" i="7"/>
  <c r="R12" i="7" s="1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S7" i="7"/>
  <c r="R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S6" i="7"/>
  <c r="R6" i="7"/>
  <c r="P6" i="7"/>
  <c r="P8" i="7" s="1"/>
  <c r="O6" i="7"/>
  <c r="N6" i="7"/>
  <c r="N8" i="7" s="1"/>
  <c r="M6" i="7"/>
  <c r="L6" i="7"/>
  <c r="L8" i="7" s="1"/>
  <c r="K6" i="7"/>
  <c r="J6" i="7"/>
  <c r="J8" i="7" s="1"/>
  <c r="I6" i="7"/>
  <c r="H6" i="7"/>
  <c r="H8" i="7" s="1"/>
  <c r="G6" i="7"/>
  <c r="F6" i="7"/>
  <c r="F8" i="7" s="1"/>
  <c r="E6" i="7"/>
  <c r="D6" i="7"/>
  <c r="D8" i="7" s="1"/>
  <c r="C6" i="7"/>
  <c r="B6" i="7"/>
  <c r="B8" i="7" s="1"/>
  <c r="S12" i="6"/>
  <c r="S11" i="6"/>
  <c r="S9" i="6"/>
  <c r="S8" i="6"/>
  <c r="S7" i="6"/>
  <c r="S6" i="6"/>
  <c r="U5" i="6"/>
  <c r="U13" i="6" s="1"/>
  <c r="T5" i="6"/>
  <c r="T13" i="6" s="1"/>
  <c r="R5" i="6"/>
  <c r="R13" i="6" s="1"/>
  <c r="Q5" i="6"/>
  <c r="Q13" i="6" s="1"/>
  <c r="P5" i="6"/>
  <c r="P13" i="6" s="1"/>
  <c r="O5" i="6"/>
  <c r="O13" i="6" s="1"/>
  <c r="N5" i="6"/>
  <c r="S5" i="6" s="1"/>
  <c r="M5" i="6"/>
  <c r="M13" i="6" s="1"/>
  <c r="L5" i="6"/>
  <c r="L13" i="6" s="1"/>
  <c r="K5" i="6"/>
  <c r="K13" i="6" s="1"/>
  <c r="J5" i="6"/>
  <c r="J13" i="6" s="1"/>
  <c r="I5" i="6"/>
  <c r="I13" i="6" s="1"/>
  <c r="H5" i="6"/>
  <c r="H13" i="6" s="1"/>
  <c r="G5" i="6"/>
  <c r="G13" i="6" s="1"/>
  <c r="F5" i="6"/>
  <c r="F13" i="6" s="1"/>
  <c r="E5" i="6"/>
  <c r="E13" i="6" s="1"/>
  <c r="D5" i="6"/>
  <c r="D13" i="6" s="1"/>
  <c r="N139" i="4"/>
  <c r="H139" i="4"/>
  <c r="O137" i="4"/>
  <c r="L137" i="4"/>
  <c r="K137" i="4"/>
  <c r="J137" i="4"/>
  <c r="J139" i="4" s="1"/>
  <c r="I137" i="4"/>
  <c r="I139" i="4" s="1"/>
  <c r="K132" i="4"/>
  <c r="X123" i="4"/>
  <c r="M116" i="4"/>
  <c r="L116" i="4"/>
  <c r="K116" i="4"/>
  <c r="M114" i="4"/>
  <c r="M107" i="4"/>
  <c r="L107" i="4"/>
  <c r="K107" i="4"/>
  <c r="M99" i="4"/>
  <c r="L99" i="4"/>
  <c r="K99" i="4"/>
  <c r="M72" i="4"/>
  <c r="L72" i="4"/>
  <c r="K72" i="4"/>
  <c r="M68" i="4"/>
  <c r="L68" i="4"/>
  <c r="K68" i="4"/>
  <c r="M60" i="4"/>
  <c r="L60" i="4"/>
  <c r="K60" i="4"/>
  <c r="M51" i="4"/>
  <c r="L51" i="4"/>
  <c r="K51" i="4"/>
  <c r="X39" i="4"/>
  <c r="X32" i="4"/>
  <c r="M30" i="4"/>
  <c r="L30" i="4"/>
  <c r="K30" i="4"/>
  <c r="M12" i="4"/>
  <c r="K12" i="4"/>
  <c r="M9" i="4"/>
  <c r="K9" i="4"/>
  <c r="S53" i="3"/>
  <c r="S52" i="3"/>
  <c r="R51" i="3"/>
  <c r="R50" i="3" s="1"/>
  <c r="Q51" i="3"/>
  <c r="O51" i="3"/>
  <c r="O50" i="3" s="1"/>
  <c r="O17" i="3" s="1"/>
  <c r="N51" i="3"/>
  <c r="S51" i="3" s="1"/>
  <c r="M51" i="3"/>
  <c r="M50" i="3" s="1"/>
  <c r="K51" i="3"/>
  <c r="J51" i="3"/>
  <c r="J50" i="3" s="1"/>
  <c r="J17" i="3" s="1"/>
  <c r="J54" i="3" s="1"/>
  <c r="I51" i="3"/>
  <c r="H51" i="3"/>
  <c r="H50" i="3" s="1"/>
  <c r="G51" i="3"/>
  <c r="F51" i="3"/>
  <c r="F50" i="3" s="1"/>
  <c r="F17" i="3" s="1"/>
  <c r="F54" i="3" s="1"/>
  <c r="E51" i="3"/>
  <c r="D51" i="3"/>
  <c r="D50" i="3" s="1"/>
  <c r="D17" i="3" s="1"/>
  <c r="D54" i="3" s="1"/>
  <c r="U50" i="3"/>
  <c r="T50" i="3"/>
  <c r="Q50" i="3"/>
  <c r="Q17" i="3" s="1"/>
  <c r="N50" i="3"/>
  <c r="S50" i="3" s="1"/>
  <c r="K50" i="3"/>
  <c r="K17" i="3" s="1"/>
  <c r="I50" i="3"/>
  <c r="I17" i="3" s="1"/>
  <c r="G50" i="3"/>
  <c r="E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U19" i="3"/>
  <c r="U18" i="3" s="1"/>
  <c r="U17" i="3" s="1"/>
  <c r="T19" i="3"/>
  <c r="R19" i="3"/>
  <c r="R18" i="3" s="1"/>
  <c r="R17" i="3" s="1"/>
  <c r="R54" i="3" s="1"/>
  <c r="N19" i="3"/>
  <c r="M19" i="3"/>
  <c r="M18" i="3" s="1"/>
  <c r="M17" i="3" s="1"/>
  <c r="T18" i="3"/>
  <c r="T17" i="3" s="1"/>
  <c r="P18" i="3"/>
  <c r="O18" i="3"/>
  <c r="N18" i="3"/>
  <c r="L18" i="3"/>
  <c r="K18" i="3"/>
  <c r="J18" i="3"/>
  <c r="I18" i="3"/>
  <c r="G18" i="3"/>
  <c r="F18" i="3"/>
  <c r="E18" i="3"/>
  <c r="D18" i="3"/>
  <c r="P17" i="3"/>
  <c r="N17" i="3"/>
  <c r="L17" i="3"/>
  <c r="G17" i="3"/>
  <c r="E17" i="3"/>
  <c r="S16" i="3"/>
  <c r="S15" i="3"/>
  <c r="S14" i="3"/>
  <c r="S13" i="3"/>
  <c r="S12" i="3"/>
  <c r="U11" i="3"/>
  <c r="T11" i="3"/>
  <c r="R11" i="3"/>
  <c r="Q11" i="3"/>
  <c r="Q6" i="3" s="1"/>
  <c r="Q5" i="3" s="1"/>
  <c r="P11" i="3"/>
  <c r="O11" i="3"/>
  <c r="N11" i="3"/>
  <c r="S11" i="3" s="1"/>
  <c r="M11" i="3"/>
  <c r="L11" i="3"/>
  <c r="K11" i="3"/>
  <c r="J11" i="3"/>
  <c r="I11" i="3"/>
  <c r="H11" i="3"/>
  <c r="G11" i="3"/>
  <c r="F11" i="3"/>
  <c r="E11" i="3"/>
  <c r="D11" i="3"/>
  <c r="S10" i="3"/>
  <c r="S9" i="3"/>
  <c r="S8" i="3"/>
  <c r="U7" i="3"/>
  <c r="T7" i="3"/>
  <c r="T6" i="3" s="1"/>
  <c r="T5" i="3" s="1"/>
  <c r="R7" i="3"/>
  <c r="O7" i="3"/>
  <c r="O6" i="3" s="1"/>
  <c r="O5" i="3" s="1"/>
  <c r="N7" i="3"/>
  <c r="S7" i="3" s="1"/>
  <c r="M7" i="3"/>
  <c r="M6" i="3" s="1"/>
  <c r="M5" i="3" s="1"/>
  <c r="L7" i="3"/>
  <c r="K7" i="3"/>
  <c r="K6" i="3" s="1"/>
  <c r="K5" i="3" s="1"/>
  <c r="J7" i="3"/>
  <c r="I7" i="3"/>
  <c r="I6" i="3" s="1"/>
  <c r="I5" i="3" s="1"/>
  <c r="H7" i="3"/>
  <c r="G7" i="3"/>
  <c r="G6" i="3" s="1"/>
  <c r="G5" i="3" s="1"/>
  <c r="F7" i="3"/>
  <c r="E7" i="3"/>
  <c r="E6" i="3" s="1"/>
  <c r="E5" i="3" s="1"/>
  <c r="D7" i="3"/>
  <c r="U6" i="3"/>
  <c r="U5" i="3" s="1"/>
  <c r="R6" i="3"/>
  <c r="P6" i="3"/>
  <c r="N6" i="3"/>
  <c r="S6" i="3" s="1"/>
  <c r="L6" i="3"/>
  <c r="J6" i="3"/>
  <c r="H6" i="3"/>
  <c r="F6" i="3"/>
  <c r="D6" i="3"/>
  <c r="R5" i="3"/>
  <c r="P5" i="3"/>
  <c r="N5" i="3"/>
  <c r="S5" i="3" s="1"/>
  <c r="L5" i="3"/>
  <c r="J5" i="3"/>
  <c r="H5" i="3"/>
  <c r="H54" i="3" s="1"/>
  <c r="F5" i="3"/>
  <c r="D5" i="3"/>
  <c r="S109" i="1"/>
  <c r="S108" i="1"/>
  <c r="K108" i="1"/>
  <c r="J108" i="1"/>
  <c r="I108" i="1"/>
  <c r="S107" i="1"/>
  <c r="R107" i="1"/>
  <c r="L107" i="1"/>
  <c r="K107" i="1"/>
  <c r="J107" i="1"/>
  <c r="I107" i="1"/>
  <c r="H107" i="1"/>
  <c r="G107" i="1"/>
  <c r="F107" i="1"/>
  <c r="E107" i="1"/>
  <c r="D107" i="1"/>
  <c r="Q106" i="1"/>
  <c r="S106" i="1" s="1"/>
  <c r="O106" i="1"/>
  <c r="N106" i="1"/>
  <c r="S105" i="1"/>
  <c r="S104" i="1"/>
  <c r="S103" i="1"/>
  <c r="S102" i="1"/>
  <c r="S101" i="1"/>
  <c r="S100" i="1"/>
  <c r="S99" i="1"/>
  <c r="S98" i="1"/>
  <c r="S97" i="1"/>
  <c r="S96" i="1"/>
  <c r="S95" i="1"/>
  <c r="S94" i="1"/>
  <c r="J94" i="1"/>
  <c r="S93" i="1"/>
  <c r="S92" i="1"/>
  <c r="S91" i="1"/>
  <c r="S90" i="1"/>
  <c r="T89" i="1"/>
  <c r="U89" i="1" s="1"/>
  <c r="S89" i="1"/>
  <c r="T88" i="1"/>
  <c r="U88" i="1" s="1"/>
  <c r="S88" i="1"/>
  <c r="K88" i="1"/>
  <c r="T87" i="1"/>
  <c r="U87" i="1" s="1"/>
  <c r="S87" i="1"/>
  <c r="S86" i="1"/>
  <c r="T85" i="1"/>
  <c r="U85" i="1" s="1"/>
  <c r="S85" i="1"/>
  <c r="U84" i="1"/>
  <c r="T84" i="1"/>
  <c r="S84" i="1"/>
  <c r="T83" i="1"/>
  <c r="U83" i="1" s="1"/>
  <c r="S83" i="1"/>
  <c r="T82" i="1"/>
  <c r="U82" i="1" s="1"/>
  <c r="S82" i="1"/>
  <c r="T81" i="1"/>
  <c r="U81" i="1" s="1"/>
  <c r="S81" i="1"/>
  <c r="K81" i="1"/>
  <c r="T80" i="1"/>
  <c r="U80" i="1" s="1"/>
  <c r="S80" i="1"/>
  <c r="T79" i="1"/>
  <c r="U79" i="1" s="1"/>
  <c r="S79" i="1"/>
  <c r="T78" i="1"/>
  <c r="U78" i="1" s="1"/>
  <c r="S78" i="1"/>
  <c r="U77" i="1"/>
  <c r="T77" i="1"/>
  <c r="S77" i="1"/>
  <c r="T76" i="1"/>
  <c r="U76" i="1" s="1"/>
  <c r="S76" i="1"/>
  <c r="T75" i="1"/>
  <c r="U75" i="1" s="1"/>
  <c r="S75" i="1"/>
  <c r="T74" i="1"/>
  <c r="U74" i="1" s="1"/>
  <c r="S74" i="1"/>
  <c r="T73" i="1"/>
  <c r="R73" i="1"/>
  <c r="Q73" i="1"/>
  <c r="S73" i="1" s="1"/>
  <c r="P73" i="1"/>
  <c r="O73" i="1"/>
  <c r="N73" i="1"/>
  <c r="M73" i="1"/>
  <c r="K73" i="1"/>
  <c r="J73" i="1"/>
  <c r="I73" i="1"/>
  <c r="S72" i="1"/>
  <c r="U71" i="1"/>
  <c r="T71" i="1"/>
  <c r="R71" i="1"/>
  <c r="Q71" i="1"/>
  <c r="S71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R69" i="1"/>
  <c r="Q69" i="1"/>
  <c r="S69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S68" i="1"/>
  <c r="T67" i="1"/>
  <c r="U67" i="1" s="1"/>
  <c r="S67" i="1"/>
  <c r="T66" i="1"/>
  <c r="U66" i="1" s="1"/>
  <c r="S66" i="1"/>
  <c r="K66" i="1"/>
  <c r="T65" i="1"/>
  <c r="U65" i="1" s="1"/>
  <c r="S65" i="1"/>
  <c r="T64" i="1"/>
  <c r="U64" i="1" s="1"/>
  <c r="S64" i="1"/>
  <c r="R63" i="1"/>
  <c r="Q63" i="1"/>
  <c r="S63" i="1" s="1"/>
  <c r="P63" i="1"/>
  <c r="O63" i="1"/>
  <c r="N63" i="1"/>
  <c r="M63" i="1"/>
  <c r="L63" i="1"/>
  <c r="K63" i="1"/>
  <c r="J63" i="1"/>
  <c r="I63" i="1"/>
  <c r="R62" i="1"/>
  <c r="Q62" i="1"/>
  <c r="S62" i="1" s="1"/>
  <c r="P62" i="1"/>
  <c r="O62" i="1"/>
  <c r="N62" i="1"/>
  <c r="M62" i="1"/>
  <c r="L62" i="1"/>
  <c r="K62" i="1"/>
  <c r="J62" i="1"/>
  <c r="I62" i="1"/>
  <c r="G62" i="1"/>
  <c r="F62" i="1"/>
  <c r="E62" i="1"/>
  <c r="D62" i="1"/>
  <c r="S61" i="1"/>
  <c r="R60" i="1"/>
  <c r="Q60" i="1"/>
  <c r="S60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S59" i="1"/>
  <c r="U58" i="1"/>
  <c r="T58" i="1"/>
  <c r="R58" i="1"/>
  <c r="Q58" i="1"/>
  <c r="S58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T57" i="1"/>
  <c r="U57" i="1" s="1"/>
  <c r="S57" i="1"/>
  <c r="P57" i="1"/>
  <c r="K57" i="1"/>
  <c r="J57" i="1"/>
  <c r="I57" i="1"/>
  <c r="U56" i="1"/>
  <c r="T56" i="1"/>
  <c r="S56" i="1"/>
  <c r="T55" i="1"/>
  <c r="U55" i="1" s="1"/>
  <c r="S55" i="1"/>
  <c r="T54" i="1"/>
  <c r="U54" i="1" s="1"/>
  <c r="S54" i="1"/>
  <c r="K54" i="1"/>
  <c r="T53" i="1"/>
  <c r="U53" i="1" s="1"/>
  <c r="S53" i="1"/>
  <c r="I53" i="1"/>
  <c r="T52" i="1"/>
  <c r="U52" i="1" s="1"/>
  <c r="S52" i="1"/>
  <c r="I52" i="1"/>
  <c r="T51" i="1"/>
  <c r="U51" i="1" s="1"/>
  <c r="S51" i="1"/>
  <c r="T50" i="1"/>
  <c r="U50" i="1" s="1"/>
  <c r="S50" i="1"/>
  <c r="T49" i="1"/>
  <c r="U49" i="1" s="1"/>
  <c r="S49" i="1"/>
  <c r="K49" i="1"/>
  <c r="T48" i="1"/>
  <c r="U48" i="1" s="1"/>
  <c r="S48" i="1"/>
  <c r="T47" i="1"/>
  <c r="U47" i="1" s="1"/>
  <c r="S47" i="1"/>
  <c r="T46" i="1"/>
  <c r="U46" i="1" s="1"/>
  <c r="S46" i="1"/>
  <c r="T45" i="1"/>
  <c r="R45" i="1"/>
  <c r="Q45" i="1"/>
  <c r="S45" i="1" s="1"/>
  <c r="P45" i="1"/>
  <c r="O45" i="1"/>
  <c r="N45" i="1"/>
  <c r="M45" i="1"/>
  <c r="L45" i="1"/>
  <c r="K45" i="1"/>
  <c r="J45" i="1"/>
  <c r="I45" i="1"/>
  <c r="T44" i="1"/>
  <c r="U44" i="1" s="1"/>
  <c r="S44" i="1"/>
  <c r="T43" i="1"/>
  <c r="U43" i="1" s="1"/>
  <c r="S43" i="1"/>
  <c r="T42" i="1"/>
  <c r="U42" i="1" s="1"/>
  <c r="U41" i="1" s="1"/>
  <c r="S42" i="1"/>
  <c r="T41" i="1"/>
  <c r="R41" i="1"/>
  <c r="Q41" i="1"/>
  <c r="S41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T40" i="1"/>
  <c r="R40" i="1"/>
  <c r="Q40" i="1"/>
  <c r="S40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T39" i="1"/>
  <c r="U39" i="1" s="1"/>
  <c r="S39" i="1"/>
  <c r="U38" i="1"/>
  <c r="T38" i="1"/>
  <c r="S38" i="1"/>
  <c r="K38" i="1"/>
  <c r="U37" i="1"/>
  <c r="T37" i="1"/>
  <c r="S37" i="1"/>
  <c r="T36" i="1"/>
  <c r="U36" i="1" s="1"/>
  <c r="S36" i="1"/>
  <c r="T35" i="1"/>
  <c r="U35" i="1" s="1"/>
  <c r="S35" i="1"/>
  <c r="T34" i="1"/>
  <c r="U34" i="1" s="1"/>
  <c r="S34" i="1"/>
  <c r="T33" i="1"/>
  <c r="U33" i="1" s="1"/>
  <c r="S33" i="1"/>
  <c r="T32" i="1"/>
  <c r="R32" i="1"/>
  <c r="Q32" i="1"/>
  <c r="S32" i="1" s="1"/>
  <c r="P32" i="1"/>
  <c r="O32" i="1"/>
  <c r="N32" i="1"/>
  <c r="M32" i="1"/>
  <c r="L32" i="1"/>
  <c r="K32" i="1"/>
  <c r="J32" i="1"/>
  <c r="I32" i="1"/>
  <c r="G32" i="1"/>
  <c r="F32" i="1"/>
  <c r="E32" i="1"/>
  <c r="D32" i="1"/>
  <c r="T31" i="1"/>
  <c r="U31" i="1" s="1"/>
  <c r="U28" i="1" s="1"/>
  <c r="S31" i="1"/>
  <c r="S30" i="1"/>
  <c r="S29" i="1"/>
  <c r="T28" i="1"/>
  <c r="R28" i="1"/>
  <c r="Q28" i="1"/>
  <c r="S28" i="1" s="1"/>
  <c r="P28" i="1"/>
  <c r="O28" i="1"/>
  <c r="N28" i="1"/>
  <c r="M28" i="1"/>
  <c r="L28" i="1"/>
  <c r="K28" i="1"/>
  <c r="J28" i="1"/>
  <c r="I28" i="1"/>
  <c r="T27" i="1"/>
  <c r="R27" i="1"/>
  <c r="Q27" i="1"/>
  <c r="P27" i="1"/>
  <c r="O27" i="1"/>
  <c r="N27" i="1"/>
  <c r="M27" i="1"/>
  <c r="L27" i="1"/>
  <c r="K27" i="1"/>
  <c r="J27" i="1"/>
  <c r="I27" i="1"/>
  <c r="G27" i="1"/>
  <c r="F27" i="1"/>
  <c r="E27" i="1"/>
  <c r="D27" i="1"/>
  <c r="R26" i="1"/>
  <c r="Q26" i="1"/>
  <c r="S26" i="1" s="1"/>
  <c r="P26" i="1"/>
  <c r="O26" i="1"/>
  <c r="N26" i="1"/>
  <c r="M26" i="1"/>
  <c r="L26" i="1"/>
  <c r="K26" i="1"/>
  <c r="J26" i="1"/>
  <c r="I26" i="1"/>
  <c r="G26" i="1"/>
  <c r="F26" i="1"/>
  <c r="E26" i="1"/>
  <c r="D26" i="1"/>
  <c r="T25" i="1"/>
  <c r="U25" i="1" s="1"/>
  <c r="S25" i="1"/>
  <c r="T24" i="1"/>
  <c r="U24" i="1" s="1"/>
  <c r="S24" i="1"/>
  <c r="K24" i="1"/>
  <c r="I24" i="1"/>
  <c r="T23" i="1"/>
  <c r="U23" i="1" s="1"/>
  <c r="S23" i="1"/>
  <c r="T22" i="1"/>
  <c r="U22" i="1" s="1"/>
  <c r="S22" i="1"/>
  <c r="T21" i="1"/>
  <c r="U21" i="1" s="1"/>
  <c r="S21" i="1"/>
  <c r="T20" i="1"/>
  <c r="U20" i="1" s="1"/>
  <c r="S20" i="1"/>
  <c r="T19" i="1"/>
  <c r="U19" i="1" s="1"/>
  <c r="U18" i="1" s="1"/>
  <c r="U17" i="1" s="1"/>
  <c r="S19" i="1"/>
  <c r="T18" i="1"/>
  <c r="R18" i="1"/>
  <c r="Q18" i="1"/>
  <c r="S18" i="1" s="1"/>
  <c r="P18" i="1"/>
  <c r="O18" i="1"/>
  <c r="N18" i="1"/>
  <c r="M18" i="1"/>
  <c r="L18" i="1"/>
  <c r="K18" i="1"/>
  <c r="J18" i="1"/>
  <c r="I18" i="1"/>
  <c r="H18" i="1"/>
  <c r="T17" i="1"/>
  <c r="R17" i="1"/>
  <c r="Q17" i="1"/>
  <c r="S17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T16" i="1"/>
  <c r="U16" i="1" s="1"/>
  <c r="S16" i="1"/>
  <c r="U15" i="1"/>
  <c r="T15" i="1"/>
  <c r="S15" i="1"/>
  <c r="T14" i="1"/>
  <c r="U14" i="1" s="1"/>
  <c r="S14" i="1"/>
  <c r="R13" i="1"/>
  <c r="Q13" i="1"/>
  <c r="P13" i="1"/>
  <c r="O13" i="1"/>
  <c r="N13" i="1"/>
  <c r="M13" i="1"/>
  <c r="L13" i="1"/>
  <c r="K13" i="1"/>
  <c r="J13" i="1"/>
  <c r="I13" i="1"/>
  <c r="R12" i="1"/>
  <c r="Q12" i="1"/>
  <c r="S12" i="1" s="1"/>
  <c r="P12" i="1"/>
  <c r="O12" i="1"/>
  <c r="N12" i="1"/>
  <c r="M12" i="1"/>
  <c r="L12" i="1"/>
  <c r="K12" i="1"/>
  <c r="J12" i="1"/>
  <c r="I12" i="1"/>
  <c r="G12" i="1"/>
  <c r="F12" i="1"/>
  <c r="E12" i="1"/>
  <c r="D12" i="1"/>
  <c r="S11" i="1"/>
  <c r="S10" i="1"/>
  <c r="S9" i="1"/>
  <c r="S8" i="1"/>
  <c r="R7" i="1"/>
  <c r="S7" i="1" s="1"/>
  <c r="R6" i="1"/>
  <c r="Q6" i="1"/>
  <c r="S6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R5" i="1"/>
  <c r="R110" i="1" s="1"/>
  <c r="Q5" i="1"/>
  <c r="Q110" i="1" s="1"/>
  <c r="P5" i="1"/>
  <c r="P110" i="1" s="1"/>
  <c r="O5" i="1"/>
  <c r="O110" i="1" s="1"/>
  <c r="N5" i="1"/>
  <c r="N110" i="1" s="1"/>
  <c r="M5" i="1"/>
  <c r="M110" i="1" s="1"/>
  <c r="L5" i="1"/>
  <c r="L110" i="1" s="1"/>
  <c r="K5" i="1"/>
  <c r="K110" i="1" s="1"/>
  <c r="J5" i="1"/>
  <c r="J110" i="1" s="1"/>
  <c r="I5" i="1"/>
  <c r="I110" i="1" s="1"/>
  <c r="H5" i="1"/>
  <c r="H110" i="1" s="1"/>
  <c r="G5" i="1"/>
  <c r="G110" i="1" s="1"/>
  <c r="F5" i="1"/>
  <c r="F110" i="1" s="1"/>
  <c r="E5" i="1"/>
  <c r="E110" i="1" s="1"/>
  <c r="D5" i="1"/>
  <c r="D110" i="1" s="1"/>
  <c r="S13" i="1" l="1"/>
  <c r="T13" i="1"/>
  <c r="T12" i="1" s="1"/>
  <c r="S27" i="1"/>
  <c r="S70" i="1"/>
  <c r="U63" i="1"/>
  <c r="U62" i="1" s="1"/>
  <c r="U73" i="1"/>
  <c r="U70" i="1" s="1"/>
  <c r="U69" i="1" s="1"/>
  <c r="U13" i="1"/>
  <c r="U12" i="1" s="1"/>
  <c r="T7" i="1"/>
  <c r="U7" i="1" s="1"/>
  <c r="U6" i="1" s="1"/>
  <c r="M54" i="3"/>
  <c r="U54" i="3"/>
  <c r="K54" i="3"/>
  <c r="Q54" i="3"/>
  <c r="S110" i="1"/>
  <c r="S5" i="1"/>
  <c r="U32" i="1"/>
  <c r="U27" i="1" s="1"/>
  <c r="U45" i="1"/>
  <c r="U40" i="1" s="1"/>
  <c r="T54" i="3"/>
  <c r="I54" i="3"/>
  <c r="O54" i="3"/>
  <c r="T63" i="1"/>
  <c r="T62" i="1" s="1"/>
  <c r="T26" i="1" s="1"/>
  <c r="E54" i="3"/>
  <c r="G54" i="3"/>
  <c r="L54" i="3"/>
  <c r="S17" i="3"/>
  <c r="P54" i="3"/>
  <c r="S18" i="3"/>
  <c r="L139" i="4"/>
  <c r="T70" i="1"/>
  <c r="T69" i="1" s="1"/>
  <c r="S19" i="3"/>
  <c r="K139" i="4"/>
  <c r="M139" i="4"/>
  <c r="C8" i="7"/>
  <c r="E8" i="7"/>
  <c r="G8" i="7"/>
  <c r="I8" i="7"/>
  <c r="K8" i="7"/>
  <c r="M8" i="7"/>
  <c r="O8" i="7"/>
  <c r="Q62" i="7"/>
  <c r="Q70" i="7" s="1"/>
  <c r="R63" i="7"/>
  <c r="R71" i="7" s="1"/>
  <c r="S12" i="7"/>
  <c r="B16" i="7"/>
  <c r="D16" i="7"/>
  <c r="F16" i="7"/>
  <c r="H16" i="7"/>
  <c r="J16" i="7"/>
  <c r="L16" i="7"/>
  <c r="N16" i="7"/>
  <c r="Q14" i="7"/>
  <c r="S16" i="7"/>
  <c r="H24" i="8"/>
  <c r="C12" i="7"/>
  <c r="E12" i="7"/>
  <c r="G12" i="7"/>
  <c r="I12" i="7"/>
  <c r="K12" i="7"/>
  <c r="M12" i="7"/>
  <c r="O12" i="7"/>
  <c r="Q11" i="7"/>
  <c r="N20" i="7"/>
  <c r="B12" i="7"/>
  <c r="B20" i="7" s="1"/>
  <c r="D12" i="7"/>
  <c r="D20" i="7" s="1"/>
  <c r="F12" i="7"/>
  <c r="F20" i="7" s="1"/>
  <c r="H12" i="7"/>
  <c r="H20" i="7" s="1"/>
  <c r="J12" i="7"/>
  <c r="J20" i="7" s="1"/>
  <c r="L12" i="7"/>
  <c r="L20" i="7" s="1"/>
  <c r="N12" i="7"/>
  <c r="P62" i="7"/>
  <c r="P70" i="7" s="1"/>
  <c r="C16" i="7"/>
  <c r="E16" i="7"/>
  <c r="E20" i="7" s="1"/>
  <c r="G16" i="7"/>
  <c r="I16" i="7"/>
  <c r="I20" i="7" s="1"/>
  <c r="K16" i="7"/>
  <c r="M16" i="7"/>
  <c r="M20" i="7" s="1"/>
  <c r="O16" i="7"/>
  <c r="R16" i="7"/>
  <c r="Q15" i="7"/>
  <c r="C20" i="7"/>
  <c r="K20" i="7"/>
  <c r="K3" i="8"/>
  <c r="K4" i="8"/>
  <c r="Q63" i="7"/>
  <c r="Q71" i="7" s="1"/>
  <c r="R8" i="7"/>
  <c r="Q6" i="7"/>
  <c r="S8" i="7"/>
  <c r="R62" i="7"/>
  <c r="R70" i="7" s="1"/>
  <c r="P63" i="7"/>
  <c r="P71" i="7" s="1"/>
  <c r="Q7" i="7"/>
  <c r="S20" i="7"/>
  <c r="P12" i="7"/>
  <c r="P16" i="7"/>
  <c r="N13" i="6"/>
  <c r="S13" i="6" s="1"/>
  <c r="O139" i="4"/>
  <c r="N54" i="3"/>
  <c r="S54" i="3" s="1"/>
  <c r="U5" i="1"/>
  <c r="T6" i="1"/>
  <c r="T5" i="1" s="1"/>
  <c r="T110" i="1" s="1"/>
  <c r="S16" i="5"/>
  <c r="S15" i="5"/>
  <c r="S14" i="5"/>
  <c r="S13" i="5"/>
  <c r="R13" i="5"/>
  <c r="S11" i="5"/>
  <c r="R10" i="5"/>
  <c r="S10" i="5" s="1"/>
  <c r="S9" i="5"/>
  <c r="G9" i="5"/>
  <c r="U8" i="5"/>
  <c r="T8" i="5"/>
  <c r="Q8" i="5"/>
  <c r="P8" i="5"/>
  <c r="O8" i="5"/>
  <c r="N8" i="5"/>
  <c r="M8" i="5"/>
  <c r="M17" i="5" s="1"/>
  <c r="L8" i="5"/>
  <c r="K8" i="5"/>
  <c r="K17" i="5" s="1"/>
  <c r="J8" i="5"/>
  <c r="I8" i="5"/>
  <c r="I17" i="5" s="1"/>
  <c r="H8" i="5"/>
  <c r="G8" i="5"/>
  <c r="G17" i="5" s="1"/>
  <c r="D8" i="5"/>
  <c r="R7" i="5"/>
  <c r="S7" i="5" s="1"/>
  <c r="S6" i="5"/>
  <c r="U5" i="5"/>
  <c r="T5" i="5"/>
  <c r="R5" i="5"/>
  <c r="Q5" i="5"/>
  <c r="P5" i="5"/>
  <c r="O5" i="5"/>
  <c r="N5" i="5"/>
  <c r="S5" i="5" s="1"/>
  <c r="M5" i="5"/>
  <c r="L5" i="5"/>
  <c r="K5" i="5"/>
  <c r="J5" i="5"/>
  <c r="I5" i="5"/>
  <c r="H5" i="5"/>
  <c r="G5" i="5"/>
  <c r="F5" i="5"/>
  <c r="F17" i="5" s="1"/>
  <c r="E5" i="5"/>
  <c r="E17" i="5" s="1"/>
  <c r="D5" i="5"/>
  <c r="U26" i="1" l="1"/>
  <c r="U110" i="1" s="1"/>
  <c r="D17" i="5"/>
  <c r="H17" i="5"/>
  <c r="J17" i="5"/>
  <c r="L17" i="5"/>
  <c r="P17" i="5"/>
  <c r="T17" i="5"/>
  <c r="P20" i="7"/>
  <c r="O20" i="7"/>
  <c r="G20" i="7"/>
  <c r="O17" i="5"/>
  <c r="Q17" i="5"/>
  <c r="U17" i="5"/>
  <c r="R20" i="7"/>
  <c r="K24" i="8"/>
  <c r="R8" i="5"/>
  <c r="R17" i="5" s="1"/>
  <c r="N17" i="5"/>
  <c r="S17" i="5" l="1"/>
  <c r="S8" i="5"/>
</calcChain>
</file>

<file path=xl/sharedStrings.xml><?xml version="1.0" encoding="utf-8"?>
<sst xmlns="http://schemas.openxmlformats.org/spreadsheetml/2006/main" count="692" uniqueCount="443">
  <si>
    <t>Kategória</t>
  </si>
  <si>
    <t>Položka</t>
  </si>
  <si>
    <t>U k a z o v a t e ľ</t>
  </si>
  <si>
    <t>čerpanie k 31.12.2006</t>
  </si>
  <si>
    <t>čerpanie k 31.12.2007</t>
  </si>
  <si>
    <t>čerpanie k 31.12.2008</t>
  </si>
  <si>
    <t>čerpanie k 31.12.2009</t>
  </si>
  <si>
    <t>čerpanie k 31.12.2010</t>
  </si>
  <si>
    <t>Čerpanie rozpočtu 2011</t>
  </si>
  <si>
    <t>Čerpanie rozpočtu 2012</t>
  </si>
  <si>
    <t>Čerpanie rozpočtu 2013</t>
  </si>
  <si>
    <t>Čerpanie rozpočtu 2014</t>
  </si>
  <si>
    <t>Čerpanie rozpočtu 2015</t>
  </si>
  <si>
    <t>Čerpanie rozpočtu 2016</t>
  </si>
  <si>
    <t>Čerpanie rozpočtu 2017</t>
  </si>
  <si>
    <t>Čerpanie rozpočtu 2018</t>
  </si>
  <si>
    <t>Predpoklad 2019</t>
  </si>
  <si>
    <t xml:space="preserve">Návrh rozpočtu 2020 </t>
  </si>
  <si>
    <t>Index rastu</t>
  </si>
  <si>
    <t>Daňové príjmy</t>
  </si>
  <si>
    <t>dane z príj.,ziskov kapitalového majetku</t>
  </si>
  <si>
    <t>Výnos dane z príjmov poukázaný územnej samospráve</t>
  </si>
  <si>
    <t>a</t>
  </si>
  <si>
    <t>b</t>
  </si>
  <si>
    <t>c</t>
  </si>
  <si>
    <t>d</t>
  </si>
  <si>
    <t>Dane z majetku</t>
  </si>
  <si>
    <t>daň z nehnuteľnosti</t>
  </si>
  <si>
    <t xml:space="preserve">    - z pozemkov</t>
  </si>
  <si>
    <t xml:space="preserve">    - zo stavieb</t>
  </si>
  <si>
    <t xml:space="preserve">    - z bytov</t>
  </si>
  <si>
    <t>Domáce dane na tovary a služby</t>
  </si>
  <si>
    <t>dane za špecifické služby</t>
  </si>
  <si>
    <t>Za psa FO a PO</t>
  </si>
  <si>
    <t>Za zábavné hracie prístroje</t>
  </si>
  <si>
    <t>Za predajné automaty</t>
  </si>
  <si>
    <t>Daň za ubytovanie</t>
  </si>
  <si>
    <t xml:space="preserve">Za záber VP </t>
  </si>
  <si>
    <t>Príjem za TKO FO</t>
  </si>
  <si>
    <t>Príjem za TKO PO</t>
  </si>
  <si>
    <t>Nedaňové príjmy</t>
  </si>
  <si>
    <t>príjmy z podnikania a vlastníctva majetku</t>
  </si>
  <si>
    <t xml:space="preserve"> </t>
  </si>
  <si>
    <t>Dividendy</t>
  </si>
  <si>
    <t>Odvod zisku Staveb.prevádzkareň s.r.o</t>
  </si>
  <si>
    <t>Odvod zo zisku Lesy mesta Levoča</t>
  </si>
  <si>
    <t>príjmy z vlastníctva</t>
  </si>
  <si>
    <t xml:space="preserve">     z prenajatých pozemkov a budov PO</t>
  </si>
  <si>
    <t xml:space="preserve">     z prenajatých pozemkov a budov FO</t>
  </si>
  <si>
    <t xml:space="preserve">     z prenájmu nehnuteľností HPZ</t>
  </si>
  <si>
    <t xml:space="preserve">     z prenájmu bytov </t>
  </si>
  <si>
    <t xml:space="preserve">     z prenájmu nebyt. priestorov</t>
  </si>
  <si>
    <t xml:space="preserve">     z prenájmu soc. bytov</t>
  </si>
  <si>
    <t>administra .a iné popl. a platby z toho:</t>
  </si>
  <si>
    <t>Administratívne poplatky</t>
  </si>
  <si>
    <t xml:space="preserve">     správne poplatky</t>
  </si>
  <si>
    <t xml:space="preserve">     právne zastupovanie</t>
  </si>
  <si>
    <t xml:space="preserve">     pokuty, penále, vecné bremená</t>
  </si>
  <si>
    <t>Poplatky a platby z nepr. a náh.pr.služ.</t>
  </si>
  <si>
    <t>Príjem za opatrovateľskú službu</t>
  </si>
  <si>
    <t>Za propagáciu</t>
  </si>
  <si>
    <t>Obce TKO</t>
  </si>
  <si>
    <t>Za stravné v Jedálni-šek</t>
  </si>
  <si>
    <t>Potraviny - jedáleň</t>
  </si>
  <si>
    <t>Potraviny - školské jedálne</t>
  </si>
  <si>
    <t>Za stravné ostatné -zamestnanci</t>
  </si>
  <si>
    <t>Príjem za  Detské Jasle</t>
  </si>
  <si>
    <t>Bytové priestory</t>
  </si>
  <si>
    <t>Nebytové priestory</t>
  </si>
  <si>
    <t>Za predaj tovarov a služieb</t>
  </si>
  <si>
    <t>Školné</t>
  </si>
  <si>
    <t>Ďalšie admin.a iné poplatky a platby</t>
  </si>
  <si>
    <t xml:space="preserve">     za znečistenie ovzdušia</t>
  </si>
  <si>
    <t>Úroky z domac.úverov, pôžič. a vkladov</t>
  </si>
  <si>
    <t>Uroky z účtov finančného hospodárenia</t>
  </si>
  <si>
    <t>Iné nedaňové príjmy</t>
  </si>
  <si>
    <t>Odvod z výťažku 5%</t>
  </si>
  <si>
    <t>Poistné</t>
  </si>
  <si>
    <t>0,5% - výťažok z lotérie</t>
  </si>
  <si>
    <t>Ostatné  - obce zmluva TKO</t>
  </si>
  <si>
    <t>Granty a transfery</t>
  </si>
  <si>
    <t>Tuzemské bežné granty a transfery</t>
  </si>
  <si>
    <t>Granty</t>
  </si>
  <si>
    <t xml:space="preserve">Dar "Dni Majstra Pavla" </t>
  </si>
  <si>
    <t>Transfery na rovnakej úrovni</t>
  </si>
  <si>
    <t>Transfer na matričnú činnosť</t>
  </si>
  <si>
    <t>Transfer na školstvo</t>
  </si>
  <si>
    <t>Transfer na stavebný úrad</t>
  </si>
  <si>
    <t>Transfer na školský úrad</t>
  </si>
  <si>
    <t>Transfer na ŠFRB</t>
  </si>
  <si>
    <t>Transfer na prídavky na deti</t>
  </si>
  <si>
    <t>Transfer na dávku v hmotnej núdzi</t>
  </si>
  <si>
    <t>Transfer na aktivačnú činnosť</t>
  </si>
  <si>
    <t>Transfer KÚCD a PK</t>
  </si>
  <si>
    <t>Ochrana životného prostredia</t>
  </si>
  <si>
    <t>Komunitná a terénna sociálna práca</t>
  </si>
  <si>
    <t>Transfer REGOB</t>
  </si>
  <si>
    <t>Vojnové hroby</t>
  </si>
  <si>
    <t>Chránené dielne</t>
  </si>
  <si>
    <t xml:space="preserve">Miestna občianska poriadková služba </t>
  </si>
  <si>
    <t>MK Kostol sv. Jakuba</t>
  </si>
  <si>
    <t>Dotácia cesty</t>
  </si>
  <si>
    <t>Modernizácia zberného dvora</t>
  </si>
  <si>
    <t>MŠ G. Haina</t>
  </si>
  <si>
    <t>Akčný plán</t>
  </si>
  <si>
    <t>MK Oprava parkanového múru</t>
  </si>
  <si>
    <t xml:space="preserve">Osobitný príjemca </t>
  </si>
  <si>
    <t>Osobitný príjemca - mesto</t>
  </si>
  <si>
    <t xml:space="preserve">Karpatské klim. mestečká </t>
  </si>
  <si>
    <t>Dotácia ŠR - školstvo</t>
  </si>
  <si>
    <t>MK Radnica a zvonica NMP č.2</t>
  </si>
  <si>
    <t xml:space="preserve">vzdelávanie seniorov </t>
  </si>
  <si>
    <t xml:space="preserve">Kultúra- puto spájajúce obyvateľov vidieka </t>
  </si>
  <si>
    <t>Prestavba NMP - I.etapa - Exter. manaž.</t>
  </si>
  <si>
    <t>Rekultivácia skládky - Dlhé Stráže (02..)</t>
  </si>
  <si>
    <t>opatrovateľska služba</t>
  </si>
  <si>
    <t>ostatné</t>
  </si>
  <si>
    <t>Zahraničné granty</t>
  </si>
  <si>
    <t>Bežné</t>
  </si>
  <si>
    <t>Bežné príjmy celkom</t>
  </si>
  <si>
    <t>Funkčná klasifikácia</t>
  </si>
  <si>
    <t>Ukazovateľ</t>
  </si>
  <si>
    <t>Čerpanie rozpočtu 2006</t>
  </si>
  <si>
    <t>Čerpanie rozpočtu 2007</t>
  </si>
  <si>
    <t>Čerpanie rozpočtu 2008</t>
  </si>
  <si>
    <t>Čerpanie rozpočtu 2009</t>
  </si>
  <si>
    <t>Čerpanie rozpočtu 2010</t>
  </si>
  <si>
    <t>01.1.1.</t>
  </si>
  <si>
    <t>Výdavky verejnej správy, finančná a rozp.</t>
  </si>
  <si>
    <t>mzdy</t>
  </si>
  <si>
    <t>poistné</t>
  </si>
  <si>
    <t>tovary a služby</t>
  </si>
  <si>
    <t>bežné transfery</t>
  </si>
  <si>
    <t>01.1.2</t>
  </si>
  <si>
    <t xml:space="preserve">Finanč.a rozpočt.oblasť </t>
  </si>
  <si>
    <t>Auditorská činnosť</t>
  </si>
  <si>
    <t>Poplatky banke</t>
  </si>
  <si>
    <t>Daň z príjmu</t>
  </si>
  <si>
    <t>01.3.3</t>
  </si>
  <si>
    <t>Iné všeobecné služby-matrika</t>
  </si>
  <si>
    <t>01.6.0</t>
  </si>
  <si>
    <t>REGOB</t>
  </si>
  <si>
    <t>voľby</t>
  </si>
  <si>
    <t>01.7.0</t>
  </si>
  <si>
    <t>Transakcie verejného dlhu</t>
  </si>
  <si>
    <t>Splátka úrokov bankám</t>
  </si>
  <si>
    <t>02.2.0.</t>
  </si>
  <si>
    <t>Vojenská obrana</t>
  </si>
  <si>
    <t>Civilná ochrana</t>
  </si>
  <si>
    <t>03.1.0</t>
  </si>
  <si>
    <t>Policajné služby-mestská polícia</t>
  </si>
  <si>
    <t>03.2.0</t>
  </si>
  <si>
    <t>Požiarna ochrana</t>
  </si>
  <si>
    <t>Požiarná ochrana</t>
  </si>
  <si>
    <t>04.1.2.</t>
  </si>
  <si>
    <t>Aktivačná činnosť - koordinátori</t>
  </si>
  <si>
    <t>04.2.1</t>
  </si>
  <si>
    <t>Veterinárna oblasť</t>
  </si>
  <si>
    <t>Veterinár. oblasť /odchyt  psov/</t>
  </si>
  <si>
    <t>04.4.3</t>
  </si>
  <si>
    <t>Stavebný úrad</t>
  </si>
  <si>
    <t>Meštiansky dom, NMP 50</t>
  </si>
  <si>
    <t>Meštiansky dom, NMP 51</t>
  </si>
  <si>
    <t>04.5.1</t>
  </si>
  <si>
    <t>Doprava</t>
  </si>
  <si>
    <t>Údržba ciest - Technické služby</t>
  </si>
  <si>
    <t>Zrážková voda - TS</t>
  </si>
  <si>
    <t>Dopravné značenie</t>
  </si>
  <si>
    <t>Parkovné</t>
  </si>
  <si>
    <t>Cestná doprava / transfer SAD /</t>
  </si>
  <si>
    <t>04.7.3</t>
  </si>
  <si>
    <t>Cestovný ruch</t>
  </si>
  <si>
    <t xml:space="preserve">Informačná kancelária </t>
  </si>
  <si>
    <t>Propagácia, reklama a inzercia</t>
  </si>
  <si>
    <t>Projekt - rozvoj turizmu v regióne</t>
  </si>
  <si>
    <t>UNESCO</t>
  </si>
  <si>
    <t>Partnerské mestá</t>
  </si>
  <si>
    <t>Slovenské kráľovské mestá</t>
  </si>
  <si>
    <t xml:space="preserve">členské </t>
  </si>
  <si>
    <t>Medzinárodný zraz turistov</t>
  </si>
  <si>
    <t>Značenie Levočské vrchy</t>
  </si>
  <si>
    <t>Lyžiarske trate</t>
  </si>
  <si>
    <t>04.9.0</t>
  </si>
  <si>
    <t>Chránená dielňa</t>
  </si>
  <si>
    <t>600</t>
  </si>
  <si>
    <t>05.1.0</t>
  </si>
  <si>
    <t>Nakladanie s odpadmi</t>
  </si>
  <si>
    <t>630</t>
  </si>
  <si>
    <t>Uzat.a rek.skládky KO D.Stráže</t>
  </si>
  <si>
    <t>skládka KO D.Stráže</t>
  </si>
  <si>
    <t>Tranfer na Technické služby</t>
  </si>
  <si>
    <t>05.2.0</t>
  </si>
  <si>
    <t>Nakladanie s odpadovými vodami</t>
  </si>
  <si>
    <t>ČOV, parkoviská - stočné</t>
  </si>
  <si>
    <t>0</t>
  </si>
  <si>
    <t>05.4.0</t>
  </si>
  <si>
    <t xml:space="preserve">Životné prostredie </t>
  </si>
  <si>
    <t>Protipovodňové aktivity</t>
  </si>
  <si>
    <t>06.1.0</t>
  </si>
  <si>
    <t>Štátny fond rozvoja bývania</t>
  </si>
  <si>
    <t>06.2.0</t>
  </si>
  <si>
    <t>Rozvoj obcí</t>
  </si>
  <si>
    <t>Kostol sv. Jakuba</t>
  </si>
  <si>
    <t>obnova oddychovej zóny Schiessplatz</t>
  </si>
  <si>
    <t>oddychová zóna</t>
  </si>
  <si>
    <t>modernizácia verejných priestranstiev</t>
  </si>
  <si>
    <t>úprava verejných priestranstiev</t>
  </si>
  <si>
    <t>Strelecká bašta</t>
  </si>
  <si>
    <t>Hradobný múr</t>
  </si>
  <si>
    <t>Obnova hradobného múru</t>
  </si>
  <si>
    <t xml:space="preserve">Prestavba NMP I. etapa </t>
  </si>
  <si>
    <t xml:space="preserve">Znalecký posudok </t>
  </si>
  <si>
    <t>projekty</t>
  </si>
  <si>
    <t>Štúrová ulica</t>
  </si>
  <si>
    <t>Oplotenie zimného štadióna</t>
  </si>
  <si>
    <t>Hnedý priemyselný park</t>
  </si>
  <si>
    <t>Verejná zeleň - Technické služby</t>
  </si>
  <si>
    <t>06.3.0</t>
  </si>
  <si>
    <t>Zásobovanie vodou</t>
  </si>
  <si>
    <t>Voda - Lev.Lúky</t>
  </si>
  <si>
    <t>06.4.0</t>
  </si>
  <si>
    <t>Verejné osvetlenie</t>
  </si>
  <si>
    <t>Oprava VO</t>
  </si>
  <si>
    <t>Technické služby</t>
  </si>
  <si>
    <t>06.6.0</t>
  </si>
  <si>
    <t>Bývanie a občianska vybavenosť</t>
  </si>
  <si>
    <t xml:space="preserve">Kláštorská </t>
  </si>
  <si>
    <t>08.1.0</t>
  </si>
  <si>
    <t>Transfery pre šport a telovýchovu</t>
  </si>
  <si>
    <t>Nájom TS</t>
  </si>
  <si>
    <t>Bežecký areál - dotácia</t>
  </si>
  <si>
    <t>Ostat.trans.pre šport a telových.</t>
  </si>
  <si>
    <t>08.2.0</t>
  </si>
  <si>
    <t>Kultúrne služby</t>
  </si>
  <si>
    <t>Náklady na obradné siene / APO/</t>
  </si>
  <si>
    <t xml:space="preserve">Dni Majstra Pavla </t>
  </si>
  <si>
    <t>Dni Majstra Pavla - MsKS</t>
  </si>
  <si>
    <t>ostatné kultúrne podujatia</t>
  </si>
  <si>
    <t>Ostatné transfery na  kultúru</t>
  </si>
  <si>
    <t>Transfery na  kultúru - FS Levočan</t>
  </si>
  <si>
    <t>kultúrno - spoločenské aktivíty</t>
  </si>
  <si>
    <t>Transfer pre MsKS</t>
  </si>
  <si>
    <t>Divadlo - MsKS</t>
  </si>
  <si>
    <t>MsKS - oprava podlahy(kongres. sála)</t>
  </si>
  <si>
    <t>Knižnica - MsKS</t>
  </si>
  <si>
    <t>Galéria - MsKS</t>
  </si>
  <si>
    <t>Kino - MsKS</t>
  </si>
  <si>
    <t>08.3.0.</t>
  </si>
  <si>
    <t xml:space="preserve">Vysielacie a vydavateľské služby </t>
  </si>
  <si>
    <t>Vysielanie mestskej televízie</t>
  </si>
  <si>
    <t>LIM</t>
  </si>
  <si>
    <t>08.4.0</t>
  </si>
  <si>
    <t>Náboženské a iné spoločenské služby</t>
  </si>
  <si>
    <t>Transfer pre členské ZMOS a ostatné</t>
  </si>
  <si>
    <t>Technické služby-cint. služby</t>
  </si>
  <si>
    <t>Transfer pre ostat. spol. služby</t>
  </si>
  <si>
    <t>09.</t>
  </si>
  <si>
    <t>Školstvo</t>
  </si>
  <si>
    <t>Školský úrad</t>
  </si>
  <si>
    <t>Rozpočet školstva</t>
  </si>
  <si>
    <t>Náklady na školstvo-prenes. výkon</t>
  </si>
  <si>
    <t>Náklady na školstvo-originál. výkon</t>
  </si>
  <si>
    <t>Projekty - školy</t>
  </si>
  <si>
    <t>Voľnočasové aktivity CVČ</t>
  </si>
  <si>
    <t xml:space="preserve">ZUŠ Levoča </t>
  </si>
  <si>
    <t>ZŠ Francisciho - udržba</t>
  </si>
  <si>
    <t>Neštátne školstvo</t>
  </si>
  <si>
    <t>09.6.0.</t>
  </si>
  <si>
    <t>Náklady na  stredisko služieb škole</t>
  </si>
  <si>
    <t>odchodné, odstupné, nemocenské</t>
  </si>
  <si>
    <t>10.2.0.</t>
  </si>
  <si>
    <t>Zariadenia sociálnych služieb - staroba</t>
  </si>
  <si>
    <t>Náklady na jedáleň</t>
  </si>
  <si>
    <t>Náklady na Klub dôchodcov</t>
  </si>
  <si>
    <t>Ďalšie služby - opatrovateľská služba</t>
  </si>
  <si>
    <t>zariadenie opatrovateľ.služby</t>
  </si>
  <si>
    <t>10.4.0.</t>
  </si>
  <si>
    <t>Detské jasle</t>
  </si>
  <si>
    <t>10.7.0.</t>
  </si>
  <si>
    <t>Prísp. neštát. subjekt.- pomoc občanom v hmotnej a sociálnej núdzi</t>
  </si>
  <si>
    <t>Terénna soc. Práca, komunitná práca</t>
  </si>
  <si>
    <t>Prídavky na deti</t>
  </si>
  <si>
    <t>Potravinová pomoc</t>
  </si>
  <si>
    <t>Stravovanie HMNU</t>
  </si>
  <si>
    <t>Osobitný príjemca -mesto</t>
  </si>
  <si>
    <t>Školské potreby - HMNU</t>
  </si>
  <si>
    <t>Jednorazová dávka primator</t>
  </si>
  <si>
    <t>Rozpočet bež. výdavky celkom</t>
  </si>
  <si>
    <t xml:space="preserve">kapitalové príjmy </t>
  </si>
  <si>
    <t>Príjem z predaja kapitálových aktív</t>
  </si>
  <si>
    <r>
      <t xml:space="preserve">    </t>
    </r>
    <r>
      <rPr>
        <sz val="10"/>
        <rFont val="Arial CE"/>
        <family val="2"/>
        <charset val="238"/>
      </rPr>
      <t xml:space="preserve"> z predaja budov</t>
    </r>
  </si>
  <si>
    <t xml:space="preserve">     z predaja nehmotného majetku</t>
  </si>
  <si>
    <t xml:space="preserve">     z predaja hnuteľného majetku</t>
  </si>
  <si>
    <t>Príjem z predaja pozemkov</t>
  </si>
  <si>
    <t>z pozemkov</t>
  </si>
  <si>
    <t>Levočská Dolina (Suchý)</t>
  </si>
  <si>
    <t>ul. V. Greschika – garáže</t>
  </si>
  <si>
    <t>Levočské Lúky majetkoprávne vysp.</t>
  </si>
  <si>
    <t>ostatné príjmy</t>
  </si>
  <si>
    <t>Kapitalové granty a transfery</t>
  </si>
  <si>
    <t>parkovisko</t>
  </si>
  <si>
    <t>ZUŠ Fasáda VÚC</t>
  </si>
  <si>
    <t>Kapitálové</t>
  </si>
  <si>
    <t>Karpatské klim. mestečká</t>
  </si>
  <si>
    <t>Kapitalové príjmy celkom</t>
  </si>
  <si>
    <t>Časť 1.2.2. Výdavky kapitálového rozpočtu</t>
  </si>
  <si>
    <t>Rozpočet 2015</t>
  </si>
  <si>
    <t>Verejná správa</t>
  </si>
  <si>
    <t>Policajné služby</t>
  </si>
  <si>
    <t>kamerový systém</t>
  </si>
  <si>
    <t>auto</t>
  </si>
  <si>
    <t>Výstavba</t>
  </si>
  <si>
    <t>Projektová dokumentácia</t>
  </si>
  <si>
    <t>Spolufinancovanie projektov</t>
  </si>
  <si>
    <t>Technické zhodnotenie - poliklinika</t>
  </si>
  <si>
    <t>Na  obnovu kult. Pamiatok</t>
  </si>
  <si>
    <t>Košická ul. Č. 26</t>
  </si>
  <si>
    <t>Košická ul. Č. 26 II. Etapa</t>
  </si>
  <si>
    <t>Dom meštiansky, NMP č.43</t>
  </si>
  <si>
    <t>Prestavba N.M.P. II. etapa časť B</t>
  </si>
  <si>
    <t>NMP č.4</t>
  </si>
  <si>
    <t xml:space="preserve">PD Košická ulica č. 26 </t>
  </si>
  <si>
    <t>Kostol sv. Jakuba - veža</t>
  </si>
  <si>
    <t>Hradby</t>
  </si>
  <si>
    <t>Klietka hamby</t>
  </si>
  <si>
    <t>Fontána dobročinnosti</t>
  </si>
  <si>
    <t>Fasáda NMP 50</t>
  </si>
  <si>
    <t>Radnica a Zvonica NMP 2</t>
  </si>
  <si>
    <t>Doprava-výstavba a oprava ciest</t>
  </si>
  <si>
    <t>Cesta ul. Okružná</t>
  </si>
  <si>
    <t>Prístupový chodník/schodisko Pod vinicou</t>
  </si>
  <si>
    <t>PD - cesta Mariánska hora</t>
  </si>
  <si>
    <t>MPV  - cesta Mariánska hora</t>
  </si>
  <si>
    <t>cesta Mariánska hora</t>
  </si>
  <si>
    <t>Záchytné parkovisko - hradobná priekopa</t>
  </si>
  <si>
    <t>prechody pre chodcov - Probstnerova cesta</t>
  </si>
  <si>
    <t>Autobusové zastávky Lev. Lúky</t>
  </si>
  <si>
    <t>Prístupová cesta - Garáže Západ</t>
  </si>
  <si>
    <t>Spevnené plochy a komunikácie</t>
  </si>
  <si>
    <t>Zábradlie Križný potok</t>
  </si>
  <si>
    <t>Parkovisko -ul. Športovcov</t>
  </si>
  <si>
    <t>schody okružná</t>
  </si>
  <si>
    <t>chodník - Kláštorská</t>
  </si>
  <si>
    <t>výstavba parkoviska sídl, Západ II.</t>
  </si>
  <si>
    <t>Chodník - ul. Francisciho</t>
  </si>
  <si>
    <t>Železničný riadok - cesta - garáže</t>
  </si>
  <si>
    <t>Križovatka ul. Slavkovská</t>
  </si>
  <si>
    <t>Nákladanie s odpadmi</t>
  </si>
  <si>
    <t>Sanácia miest s nelegálnym odpadom</t>
  </si>
  <si>
    <t>spolufinancovanie</t>
  </si>
  <si>
    <t>Prestavba zberných miest</t>
  </si>
  <si>
    <t>Príspevok pre TS</t>
  </si>
  <si>
    <t>Univerzálny vyklápač</t>
  </si>
  <si>
    <t>Rozvoj bývania</t>
  </si>
  <si>
    <t>Príspevok pre TS nákup profesionálnej kosačky</t>
  </si>
  <si>
    <t>Ortofomapa</t>
  </si>
  <si>
    <t>územný plán</t>
  </si>
  <si>
    <t>MPV Plantáže</t>
  </si>
  <si>
    <t>VO Probstnerova cesta</t>
  </si>
  <si>
    <t>Kaplnka Levočské Lúky, NN prípojka</t>
  </si>
  <si>
    <t>Vnútrobloky, sídl. Rozvoj</t>
  </si>
  <si>
    <t>Detské ihrisko Pri prameni</t>
  </si>
  <si>
    <t>Vodná nádrž Levoča</t>
  </si>
  <si>
    <t>cyklochodník</t>
  </si>
  <si>
    <t xml:space="preserve">Nízkouhlíková stratégia </t>
  </si>
  <si>
    <t>Vodozádržné opatrenia</t>
  </si>
  <si>
    <t>NMP 43</t>
  </si>
  <si>
    <t>NMP 47</t>
  </si>
  <si>
    <t>07.1.2</t>
  </si>
  <si>
    <t>Ine zdravotnícke služby</t>
  </si>
  <si>
    <t>Centrum integrovanej zdrav. starostlivosti</t>
  </si>
  <si>
    <t>08.2.0.9</t>
  </si>
  <si>
    <t>Rekreačné a športové služby</t>
  </si>
  <si>
    <t>08.2.0.</t>
  </si>
  <si>
    <t xml:space="preserve">NMP č. 54 - divadlo, výmena okien II. etapa </t>
  </si>
  <si>
    <t>08.4.0.</t>
  </si>
  <si>
    <t xml:space="preserve">ZŠ G. Haina - ŠJ </t>
  </si>
  <si>
    <t>ZŠ G. Haina</t>
  </si>
  <si>
    <t>ZUŠ - fasáda</t>
  </si>
  <si>
    <t>MŠ Žel. riadok - elok. MŠ Francisciho</t>
  </si>
  <si>
    <t xml:space="preserve">Zlepšenie kľúčových kompetencií žiakov ZŠ </t>
  </si>
  <si>
    <t>Rekonštrukcia - spolufinancovanie</t>
  </si>
  <si>
    <t>10.7.0</t>
  </si>
  <si>
    <t>komunitné centrum</t>
  </si>
  <si>
    <t>Rozpočet kapitál. výdavky celkom</t>
  </si>
  <si>
    <t>Finančné operácie</t>
  </si>
  <si>
    <t>Krátkodobé úvery</t>
  </si>
  <si>
    <t>Príjmy z prevodov peňaž. Fondov obcí FRB</t>
  </si>
  <si>
    <t>fond nevyčerpaných dotácií</t>
  </si>
  <si>
    <t xml:space="preserve">predaj akcií </t>
  </si>
  <si>
    <t>zábezpeky</t>
  </si>
  <si>
    <t>Prevod investičný fond</t>
  </si>
  <si>
    <t>fond opráv ŠFRB</t>
  </si>
  <si>
    <t>Finančné operácie celkom</t>
  </si>
  <si>
    <t xml:space="preserve">Časť 2.2. Výdavkové finančné operácie </t>
  </si>
  <si>
    <t>01.7</t>
  </si>
  <si>
    <t>Splácanie bankových úverov dlhodobých</t>
  </si>
  <si>
    <t>Splácanie bankových úverov krátkodobých</t>
  </si>
  <si>
    <t>Splácanie bankových úverov ŠFRB</t>
  </si>
  <si>
    <t>dodávateľský úver - chodníky</t>
  </si>
  <si>
    <t xml:space="preserve">dodávateľský úver - auto </t>
  </si>
  <si>
    <t>Prevod na fond nevyčerpaných dotácií</t>
  </si>
  <si>
    <t xml:space="preserve">REKAPITULÁCIA  PRÍJMOV  A  VÝDAVKOV </t>
  </si>
  <si>
    <t>Návrh rozpočtu 2020</t>
  </si>
  <si>
    <t>Príjmy bežného rozpočtu</t>
  </si>
  <si>
    <t>Výdavky bežného rozpočtu</t>
  </si>
  <si>
    <t>Prebytok/schodok bežného hospodárenia</t>
  </si>
  <si>
    <t>Príjmy kapitáloveho rozpočtu</t>
  </si>
  <si>
    <t>Výdavky kapitálového rozpočtu</t>
  </si>
  <si>
    <t>Prebytok/schodok kapitálového hospodárenia</t>
  </si>
  <si>
    <t>Príjmy - finančné operácie</t>
  </si>
  <si>
    <t>Výdavky - finančné operácie</t>
  </si>
  <si>
    <t>Prebytok/schodok finančného hospodárenia</t>
  </si>
  <si>
    <t>Rekapitulácia</t>
  </si>
  <si>
    <t>Prebytok/schodok  hospodárenia</t>
  </si>
  <si>
    <t>Zdroje krytia</t>
  </si>
  <si>
    <t>spolu</t>
  </si>
  <si>
    <t>prebytok BR</t>
  </si>
  <si>
    <t>kapitálové príjmy</t>
  </si>
  <si>
    <t>príjmy z min. rokov</t>
  </si>
  <si>
    <t>granty a transfery</t>
  </si>
  <si>
    <t>Fond nevyčerpaných dot.</t>
  </si>
  <si>
    <t>fondové účty</t>
  </si>
  <si>
    <t>krátkodobý úver</t>
  </si>
  <si>
    <t>úver</t>
  </si>
  <si>
    <t>Kapitál. výdavky celkom</t>
  </si>
  <si>
    <t>Návrh rozpočtu 2021</t>
  </si>
  <si>
    <t>Návrh rozpočtu 2022</t>
  </si>
  <si>
    <t>MPV - ostatné</t>
  </si>
  <si>
    <t>Dlhodobé úvery rok 2019</t>
  </si>
  <si>
    <t> 936 286,00</t>
  </si>
  <si>
    <t>6 570 626,00</t>
  </si>
  <si>
    <t>6 697 732,00</t>
  </si>
  <si>
    <t>PD</t>
  </si>
  <si>
    <t>OZ Levočan</t>
  </si>
  <si>
    <t xml:space="preserve">Transfer pre TS </t>
  </si>
  <si>
    <t>Časť 1.1. Bežný rozpočet</t>
  </si>
  <si>
    <t>Časť 1.1.1.   príjmy bežného rozpočtu</t>
  </si>
  <si>
    <t>Časť 1.2. Výdavky bežného rozpočtu</t>
  </si>
  <si>
    <t>Časť 1.2. Kapitálový rozpočet</t>
  </si>
  <si>
    <t>Časť 1.2.1. Príjmy kapitálového rozpočtu</t>
  </si>
  <si>
    <t>Časť 2.1. Príjmové finančné operácie</t>
  </si>
  <si>
    <t>Časť 2. Finančné operácie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</si>
</sst>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S_k"/>
  </numFmts>
  <fonts count="36" x14ac:knownFonts="1"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9"/>
      <name val="Arial CE"/>
      <family val="2"/>
      <charset val="238"/>
    </font>
    <font>
      <b/>
      <sz val="11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color indexed="8"/>
      <name val="Arial CE"/>
      <charset val="238"/>
    </font>
    <font>
      <b/>
      <sz val="11"/>
      <name val="Arial"/>
      <family val="2"/>
      <charset val="238"/>
    </font>
    <font>
      <b/>
      <sz val="11"/>
      <color indexed="8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 CE"/>
      <family val="2"/>
      <charset val="238"/>
    </font>
    <font>
      <sz val="10"/>
      <color rgb="FF00B050"/>
      <name val="Arial CE"/>
      <family val="2"/>
      <charset val="238"/>
    </font>
    <font>
      <sz val="11"/>
      <name val="Arial CE"/>
      <charset val="238"/>
    </font>
    <font>
      <sz val="10"/>
      <color indexed="10"/>
      <name val="Arial CE"/>
      <charset val="238"/>
    </font>
    <font>
      <sz val="11"/>
      <name val="Arial CE"/>
      <family val="2"/>
      <charset val="238"/>
    </font>
    <font>
      <b/>
      <sz val="11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rgb="FF555555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0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19">
    <xf numFmtId="0" fontId="0" fillId="0" borderId="0" xfId="0"/>
    <xf numFmtId="0" fontId="5" fillId="0" borderId="7" xfId="0" applyFont="1" applyFill="1" applyBorder="1" applyAlignment="1">
      <alignment horizontal="center"/>
    </xf>
    <xf numFmtId="3" fontId="5" fillId="0" borderId="10" xfId="0" applyNumberFormat="1" applyFont="1" applyFill="1" applyBorder="1"/>
    <xf numFmtId="4" fontId="5" fillId="0" borderId="10" xfId="0" applyNumberFormat="1" applyFont="1" applyFill="1" applyBorder="1"/>
    <xf numFmtId="3" fontId="5" fillId="0" borderId="11" xfId="0" applyNumberFormat="1" applyFont="1" applyFill="1" applyBorder="1"/>
    <xf numFmtId="4" fontId="5" fillId="0" borderId="12" xfId="0" applyNumberFormat="1" applyFont="1" applyFill="1" applyBorder="1"/>
    <xf numFmtId="0" fontId="6" fillId="0" borderId="13" xfId="0" applyFont="1" applyFill="1" applyBorder="1" applyAlignment="1">
      <alignment horizontal="center"/>
    </xf>
    <xf numFmtId="3" fontId="6" fillId="0" borderId="12" xfId="0" applyNumberFormat="1" applyFont="1" applyFill="1" applyBorder="1"/>
    <xf numFmtId="4" fontId="6" fillId="0" borderId="12" xfId="0" applyNumberFormat="1" applyFont="1" applyFill="1" applyBorder="1"/>
    <xf numFmtId="3" fontId="6" fillId="0" borderId="16" xfId="0" applyNumberFormat="1" applyFont="1" applyFill="1" applyBorder="1"/>
    <xf numFmtId="4" fontId="7" fillId="0" borderId="17" xfId="0" applyNumberFormat="1" applyFont="1" applyBorder="1"/>
    <xf numFmtId="0" fontId="10" fillId="0" borderId="15" xfId="0" applyFont="1" applyFill="1" applyBorder="1"/>
    <xf numFmtId="0" fontId="10" fillId="0" borderId="17" xfId="0" applyFont="1" applyFill="1" applyBorder="1"/>
    <xf numFmtId="3" fontId="10" fillId="0" borderId="17" xfId="0" applyNumberFormat="1" applyFont="1" applyFill="1" applyBorder="1"/>
    <xf numFmtId="3" fontId="10" fillId="0" borderId="14" xfId="0" applyNumberFormat="1" applyFont="1" applyFill="1" applyBorder="1"/>
    <xf numFmtId="4" fontId="8" fillId="0" borderId="14" xfId="0" applyNumberFormat="1" applyFont="1" applyFill="1" applyBorder="1"/>
    <xf numFmtId="3" fontId="8" fillId="0" borderId="14" xfId="0" applyNumberFormat="1" applyFont="1" applyFill="1" applyBorder="1"/>
    <xf numFmtId="0" fontId="10" fillId="0" borderId="21" xfId="0" applyFont="1" applyFill="1" applyBorder="1"/>
    <xf numFmtId="3" fontId="10" fillId="0" borderId="21" xfId="0" applyNumberFormat="1" applyFont="1" applyFill="1" applyBorder="1"/>
    <xf numFmtId="3" fontId="10" fillId="0" borderId="22" xfId="0" applyNumberFormat="1" applyFont="1" applyFill="1" applyBorder="1"/>
    <xf numFmtId="4" fontId="8" fillId="0" borderId="22" xfId="0" applyNumberFormat="1" applyFont="1" applyFill="1" applyBorder="1"/>
    <xf numFmtId="3" fontId="8" fillId="0" borderId="22" xfId="0" applyNumberFormat="1" applyFont="1" applyFill="1" applyBorder="1"/>
    <xf numFmtId="4" fontId="7" fillId="0" borderId="23" xfId="0" applyNumberFormat="1" applyFont="1" applyBorder="1"/>
    <xf numFmtId="0" fontId="10" fillId="0" borderId="24" xfId="0" applyFont="1" applyFill="1" applyBorder="1"/>
    <xf numFmtId="3" fontId="10" fillId="0" borderId="24" xfId="0" applyNumberFormat="1" applyFont="1" applyFill="1" applyBorder="1"/>
    <xf numFmtId="3" fontId="10" fillId="0" borderId="25" xfId="0" applyNumberFormat="1" applyFont="1" applyFill="1" applyBorder="1"/>
    <xf numFmtId="4" fontId="8" fillId="0" borderId="25" xfId="0" applyNumberFormat="1" applyFont="1" applyFill="1" applyBorder="1"/>
    <xf numFmtId="3" fontId="8" fillId="0" borderId="25" xfId="0" applyNumberFormat="1" applyFont="1" applyFill="1" applyBorder="1"/>
    <xf numFmtId="4" fontId="7" fillId="0" borderId="24" xfId="0" applyNumberFormat="1" applyFont="1" applyBorder="1"/>
    <xf numFmtId="0" fontId="10" fillId="0" borderId="27" xfId="0" applyFont="1" applyFill="1" applyBorder="1"/>
    <xf numFmtId="3" fontId="10" fillId="0" borderId="27" xfId="0" applyNumberFormat="1" applyFont="1" applyFill="1" applyBorder="1"/>
    <xf numFmtId="3" fontId="10" fillId="0" borderId="28" xfId="0" applyNumberFormat="1" applyFont="1" applyFill="1" applyBorder="1"/>
    <xf numFmtId="4" fontId="8" fillId="0" borderId="28" xfId="0" applyNumberFormat="1" applyFont="1" applyFill="1" applyBorder="1"/>
    <xf numFmtId="3" fontId="8" fillId="0" borderId="28" xfId="0" applyNumberFormat="1" applyFont="1" applyFill="1" applyBorder="1"/>
    <xf numFmtId="4" fontId="7" fillId="0" borderId="29" xfId="0" applyNumberFormat="1" applyFont="1" applyBorder="1"/>
    <xf numFmtId="0" fontId="6" fillId="0" borderId="30" xfId="0" applyFont="1" applyFill="1" applyBorder="1" applyAlignment="1">
      <alignment horizontal="center"/>
    </xf>
    <xf numFmtId="3" fontId="11" fillId="0" borderId="17" xfId="0" applyNumberFormat="1" applyFont="1" applyFill="1" applyBorder="1"/>
    <xf numFmtId="4" fontId="11" fillId="0" borderId="17" xfId="0" applyNumberFormat="1" applyFont="1" applyFill="1" applyBorder="1"/>
    <xf numFmtId="3" fontId="11" fillId="0" borderId="14" xfId="0" applyNumberFormat="1" applyFont="1" applyFill="1" applyBorder="1"/>
    <xf numFmtId="0" fontId="9" fillId="0" borderId="17" xfId="0" applyFont="1" applyFill="1" applyBorder="1"/>
    <xf numFmtId="0" fontId="9" fillId="0" borderId="9" xfId="0" applyFont="1" applyFill="1" applyBorder="1"/>
    <xf numFmtId="3" fontId="2" fillId="0" borderId="26" xfId="0" applyNumberFormat="1" applyFont="1" applyFill="1" applyBorder="1"/>
    <xf numFmtId="4" fontId="2" fillId="0" borderId="26" xfId="0" applyNumberFormat="1" applyFont="1" applyFill="1" applyBorder="1"/>
    <xf numFmtId="3" fontId="2" fillId="0" borderId="8" xfId="0" applyNumberFormat="1" applyFont="1" applyFill="1" applyBorder="1"/>
    <xf numFmtId="4" fontId="7" fillId="0" borderId="26" xfId="0" applyNumberFormat="1" applyFont="1" applyBorder="1"/>
    <xf numFmtId="0" fontId="10" fillId="0" borderId="31" xfId="0" applyFont="1" applyFill="1" applyBorder="1"/>
    <xf numFmtId="0" fontId="10" fillId="0" borderId="23" xfId="0" applyFont="1" applyFill="1" applyBorder="1"/>
    <xf numFmtId="3" fontId="10" fillId="0" borderId="32" xfId="0" applyNumberFormat="1" applyFont="1" applyFill="1" applyBorder="1"/>
    <xf numFmtId="4" fontId="8" fillId="0" borderId="32" xfId="0" applyNumberFormat="1" applyFont="1" applyFill="1" applyBorder="1"/>
    <xf numFmtId="3" fontId="8" fillId="0" borderId="32" xfId="0" applyNumberFormat="1" applyFont="1" applyFill="1" applyBorder="1"/>
    <xf numFmtId="3" fontId="10" fillId="0" borderId="34" xfId="0" applyNumberFormat="1" applyFont="1" applyFill="1" applyBorder="1"/>
    <xf numFmtId="4" fontId="8" fillId="0" borderId="34" xfId="0" applyNumberFormat="1" applyFont="1" applyFill="1" applyBorder="1"/>
    <xf numFmtId="3" fontId="8" fillId="0" borderId="34" xfId="0" applyNumberFormat="1" applyFont="1" applyFill="1" applyBorder="1"/>
    <xf numFmtId="0" fontId="9" fillId="0" borderId="26" xfId="0" applyFont="1" applyFill="1" applyBorder="1"/>
    <xf numFmtId="0" fontId="9" fillId="0" borderId="35" xfId="0" applyFont="1" applyFill="1" applyBorder="1"/>
    <xf numFmtId="0" fontId="9" fillId="0" borderId="36" xfId="0" applyFont="1" applyFill="1" applyBorder="1"/>
    <xf numFmtId="3" fontId="9" fillId="0" borderId="12" xfId="0" applyNumberFormat="1" applyFont="1" applyFill="1" applyBorder="1"/>
    <xf numFmtId="3" fontId="9" fillId="0" borderId="17" xfId="0" applyNumberFormat="1" applyFont="1" applyFill="1" applyBorder="1"/>
    <xf numFmtId="4" fontId="9" fillId="0" borderId="17" xfId="0" applyNumberFormat="1" applyFont="1" applyFill="1" applyBorder="1"/>
    <xf numFmtId="3" fontId="9" fillId="0" borderId="14" xfId="0" applyNumberFormat="1" applyFont="1" applyFill="1" applyBorder="1"/>
    <xf numFmtId="0" fontId="8" fillId="0" borderId="21" xfId="0" applyFont="1" applyFill="1" applyBorder="1"/>
    <xf numFmtId="3" fontId="8" fillId="0" borderId="21" xfId="0" applyNumberFormat="1" applyFont="1" applyFill="1" applyBorder="1"/>
    <xf numFmtId="0" fontId="8" fillId="0" borderId="24" xfId="0" applyFont="1" applyFill="1" applyBorder="1"/>
    <xf numFmtId="3" fontId="8" fillId="0" borderId="24" xfId="0" applyNumberFormat="1" applyFont="1" applyFill="1" applyBorder="1"/>
    <xf numFmtId="0" fontId="8" fillId="0" borderId="27" xfId="0" applyFont="1" applyFill="1" applyBorder="1"/>
    <xf numFmtId="0" fontId="8" fillId="0" borderId="29" xfId="0" applyFont="1" applyFill="1" applyBorder="1"/>
    <xf numFmtId="0" fontId="5" fillId="0" borderId="30" xfId="0" applyFont="1" applyFill="1" applyBorder="1" applyAlignment="1">
      <alignment horizontal="center"/>
    </xf>
    <xf numFmtId="3" fontId="5" fillId="0" borderId="19" xfId="0" applyNumberFormat="1" applyFont="1" applyFill="1" applyBorder="1"/>
    <xf numFmtId="4" fontId="5" fillId="0" borderId="19" xfId="0" applyNumberFormat="1" applyFont="1" applyFill="1" applyBorder="1"/>
    <xf numFmtId="3" fontId="5" fillId="0" borderId="38" xfId="0" applyNumberFormat="1" applyFont="1" applyFill="1" applyBorder="1"/>
    <xf numFmtId="3" fontId="6" fillId="0" borderId="19" xfId="0" applyNumberFormat="1" applyFont="1" applyFill="1" applyBorder="1"/>
    <xf numFmtId="4" fontId="6" fillId="0" borderId="19" xfId="0" applyNumberFormat="1" applyFont="1" applyFill="1" applyBorder="1"/>
    <xf numFmtId="3" fontId="6" fillId="0" borderId="38" xfId="0" applyNumberFormat="1" applyFont="1" applyFill="1" applyBorder="1"/>
    <xf numFmtId="0" fontId="9" fillId="0" borderId="37" xfId="0" applyFont="1" applyFill="1" applyBorder="1"/>
    <xf numFmtId="0" fontId="8" fillId="0" borderId="22" xfId="0" applyFont="1" applyFill="1" applyBorder="1"/>
    <xf numFmtId="0" fontId="8" fillId="0" borderId="32" xfId="0" applyFont="1" applyFill="1" applyBorder="1"/>
    <xf numFmtId="3" fontId="8" fillId="0" borderId="23" xfId="0" applyNumberFormat="1" applyFont="1" applyFill="1" applyBorder="1"/>
    <xf numFmtId="0" fontId="8" fillId="0" borderId="25" xfId="0" applyFont="1" applyFill="1" applyBorder="1"/>
    <xf numFmtId="0" fontId="8" fillId="0" borderId="28" xfId="0" applyFont="1" applyFill="1" applyBorder="1"/>
    <xf numFmtId="3" fontId="8" fillId="0" borderId="27" xfId="0" applyNumberFormat="1" applyFont="1" applyFill="1" applyBorder="1"/>
    <xf numFmtId="0" fontId="2" fillId="0" borderId="17" xfId="0" applyFont="1" applyFill="1" applyBorder="1"/>
    <xf numFmtId="0" fontId="2" fillId="0" borderId="14" xfId="0" applyFont="1" applyFill="1" applyBorder="1"/>
    <xf numFmtId="3" fontId="2" fillId="0" borderId="19" xfId="0" applyNumberFormat="1" applyFont="1" applyFill="1" applyBorder="1"/>
    <xf numFmtId="3" fontId="2" fillId="0" borderId="17" xfId="0" applyNumberFormat="1" applyFont="1" applyFill="1" applyBorder="1"/>
    <xf numFmtId="4" fontId="2" fillId="0" borderId="17" xfId="0" applyNumberFormat="1" applyFont="1" applyFill="1" applyBorder="1"/>
    <xf numFmtId="3" fontId="2" fillId="0" borderId="14" xfId="0" applyNumberFormat="1" applyFont="1" applyFill="1" applyBorder="1"/>
    <xf numFmtId="0" fontId="8" fillId="0" borderId="34" xfId="0" applyFont="1" applyFill="1" applyBorder="1"/>
    <xf numFmtId="3" fontId="6" fillId="0" borderId="17" xfId="0" applyNumberFormat="1" applyFont="1" applyFill="1" applyBorder="1"/>
    <xf numFmtId="4" fontId="6" fillId="0" borderId="17" xfId="0" applyNumberFormat="1" applyFont="1" applyFill="1" applyBorder="1"/>
    <xf numFmtId="3" fontId="6" fillId="0" borderId="14" xfId="0" applyNumberFormat="1" applyFont="1" applyFill="1" applyBorder="1"/>
    <xf numFmtId="4" fontId="2" fillId="0" borderId="14" xfId="0" applyNumberFormat="1" applyFont="1" applyFill="1" applyBorder="1"/>
    <xf numFmtId="0" fontId="8" fillId="0" borderId="16" xfId="0" applyFont="1" applyFill="1" applyBorder="1"/>
    <xf numFmtId="4" fontId="8" fillId="0" borderId="16" xfId="0" applyNumberFormat="1" applyFont="1" applyFill="1" applyBorder="1"/>
    <xf numFmtId="3" fontId="8" fillId="0" borderId="16" xfId="0" applyNumberFormat="1" applyFont="1" applyFill="1" applyBorder="1"/>
    <xf numFmtId="0" fontId="8" fillId="0" borderId="23" xfId="0" applyFont="1" applyFill="1" applyBorder="1"/>
    <xf numFmtId="4" fontId="8" fillId="0" borderId="23" xfId="0" applyNumberFormat="1" applyFont="1" applyFill="1" applyBorder="1"/>
    <xf numFmtId="3" fontId="8" fillId="0" borderId="29" xfId="0" applyNumberFormat="1" applyFont="1" applyFill="1" applyBorder="1"/>
    <xf numFmtId="0" fontId="8" fillId="0" borderId="17" xfId="0" applyFont="1" applyFill="1" applyBorder="1"/>
    <xf numFmtId="0" fontId="8" fillId="0" borderId="8" xfId="0" applyFont="1" applyFill="1" applyBorder="1"/>
    <xf numFmtId="4" fontId="8" fillId="0" borderId="8" xfId="0" applyNumberFormat="1" applyFont="1" applyFill="1" applyBorder="1"/>
    <xf numFmtId="3" fontId="8" fillId="0" borderId="8" xfId="0" applyNumberFormat="1" applyFont="1" applyFill="1" applyBorder="1"/>
    <xf numFmtId="4" fontId="7" fillId="0" borderId="12" xfId="0" applyNumberFormat="1" applyFont="1" applyBorder="1"/>
    <xf numFmtId="0" fontId="6" fillId="0" borderId="33" xfId="0" applyFont="1" applyFill="1" applyBorder="1" applyAlignment="1">
      <alignment horizontal="center"/>
    </xf>
    <xf numFmtId="3" fontId="6" fillId="0" borderId="26" xfId="0" applyNumberFormat="1" applyFont="1" applyFill="1" applyBorder="1"/>
    <xf numFmtId="4" fontId="6" fillId="0" borderId="26" xfId="0" applyNumberFormat="1" applyFont="1" applyFill="1" applyBorder="1"/>
    <xf numFmtId="3" fontId="6" fillId="0" borderId="8" xfId="0" applyNumberFormat="1" applyFont="1" applyFill="1" applyBorder="1"/>
    <xf numFmtId="0" fontId="10" fillId="0" borderId="26" xfId="0" applyFont="1" applyFill="1" applyBorder="1"/>
    <xf numFmtId="3" fontId="8" fillId="0" borderId="17" xfId="0" applyNumberFormat="1" applyFont="1" applyFill="1" applyBorder="1"/>
    <xf numFmtId="4" fontId="10" fillId="0" borderId="8" xfId="0" applyNumberFormat="1" applyFont="1" applyFill="1" applyBorder="1"/>
    <xf numFmtId="3" fontId="10" fillId="0" borderId="8" xfId="0" applyNumberFormat="1" applyFont="1" applyFill="1" applyBorder="1"/>
    <xf numFmtId="3" fontId="11" fillId="0" borderId="26" xfId="0" applyNumberFormat="1" applyFont="1" applyFill="1" applyBorder="1"/>
    <xf numFmtId="4" fontId="11" fillId="0" borderId="26" xfId="0" applyNumberFormat="1" applyFont="1" applyFill="1" applyBorder="1"/>
    <xf numFmtId="3" fontId="11" fillId="0" borderId="8" xfId="0" applyNumberFormat="1" applyFont="1" applyFill="1" applyBorder="1"/>
    <xf numFmtId="4" fontId="11" fillId="0" borderId="8" xfId="0" applyNumberFormat="1" applyFont="1" applyFill="1" applyBorder="1"/>
    <xf numFmtId="0" fontId="10" fillId="0" borderId="22" xfId="0" applyFont="1" applyFill="1" applyBorder="1"/>
    <xf numFmtId="0" fontId="10" fillId="0" borderId="32" xfId="0" applyFont="1" applyFill="1" applyBorder="1"/>
    <xf numFmtId="3" fontId="10" fillId="0" borderId="23" xfId="0" applyNumberFormat="1" applyFont="1" applyFill="1" applyBorder="1"/>
    <xf numFmtId="0" fontId="10" fillId="0" borderId="25" xfId="0" applyFont="1" applyFill="1" applyBorder="1"/>
    <xf numFmtId="4" fontId="10" fillId="0" borderId="25" xfId="0" applyNumberFormat="1" applyFont="1" applyFill="1" applyBorder="1"/>
    <xf numFmtId="0" fontId="10" fillId="0" borderId="28" xfId="0" applyFont="1" applyFill="1" applyBorder="1"/>
    <xf numFmtId="4" fontId="7" fillId="0" borderId="27" xfId="0" applyNumberFormat="1" applyFont="1" applyBorder="1"/>
    <xf numFmtId="3" fontId="13" fillId="0" borderId="17" xfId="0" applyNumberFormat="1" applyFont="1" applyFill="1" applyBorder="1"/>
    <xf numFmtId="4" fontId="13" fillId="0" borderId="17" xfId="0" applyNumberFormat="1" applyFont="1" applyFill="1" applyBorder="1"/>
    <xf numFmtId="3" fontId="13" fillId="0" borderId="14" xfId="0" applyNumberFormat="1" applyFont="1" applyFill="1" applyBorder="1"/>
    <xf numFmtId="4" fontId="13" fillId="0" borderId="14" xfId="0" applyNumberFormat="1" applyFont="1" applyFill="1" applyBorder="1"/>
    <xf numFmtId="4" fontId="6" fillId="0" borderId="14" xfId="0" applyNumberFormat="1" applyFont="1" applyFill="1" applyBorder="1"/>
    <xf numFmtId="0" fontId="2" fillId="0" borderId="26" xfId="0" applyFont="1" applyFill="1" applyBorder="1"/>
    <xf numFmtId="3" fontId="2" fillId="0" borderId="12" xfId="0" applyNumberFormat="1" applyFont="1" applyFill="1" applyBorder="1"/>
    <xf numFmtId="4" fontId="2" fillId="0" borderId="8" xfId="0" applyNumberFormat="1" applyFont="1" applyFill="1" applyBorder="1"/>
    <xf numFmtId="4" fontId="9" fillId="0" borderId="14" xfId="0" applyNumberFormat="1" applyFont="1" applyFill="1" applyBorder="1"/>
    <xf numFmtId="4" fontId="8" fillId="0" borderId="21" xfId="0" applyNumberFormat="1" applyFont="1" applyFill="1" applyBorder="1"/>
    <xf numFmtId="4" fontId="8" fillId="0" borderId="24" xfId="0" applyNumberFormat="1" applyFont="1" applyFill="1" applyBorder="1"/>
    <xf numFmtId="3" fontId="12" fillId="0" borderId="24" xfId="0" applyNumberFormat="1" applyFont="1" applyFill="1" applyBorder="1"/>
    <xf numFmtId="3" fontId="12" fillId="0" borderId="25" xfId="0" applyNumberFormat="1" applyFont="1" applyFill="1" applyBorder="1"/>
    <xf numFmtId="4" fontId="12" fillId="0" borderId="25" xfId="0" applyNumberFormat="1" applyFont="1" applyFill="1" applyBorder="1"/>
    <xf numFmtId="4" fontId="8" fillId="0" borderId="25" xfId="0" applyNumberFormat="1" applyFont="1" applyFill="1" applyBorder="1" applyAlignment="1"/>
    <xf numFmtId="0" fontId="8" fillId="0" borderId="38" xfId="0" applyFont="1" applyFill="1" applyBorder="1"/>
    <xf numFmtId="3" fontId="8" fillId="0" borderId="19" xfId="0" applyNumberFormat="1" applyFont="1" applyFill="1" applyBorder="1"/>
    <xf numFmtId="4" fontId="7" fillId="0" borderId="19" xfId="0" applyNumberFormat="1" applyFont="1" applyBorder="1"/>
    <xf numFmtId="3" fontId="5" fillId="0" borderId="42" xfId="0" applyNumberFormat="1" applyFont="1" applyFill="1" applyBorder="1"/>
    <xf numFmtId="4" fontId="5" fillId="0" borderId="42" xfId="0" applyNumberFormat="1" applyFont="1" applyFill="1" applyBorder="1"/>
    <xf numFmtId="3" fontId="5" fillId="0" borderId="43" xfId="0" applyNumberFormat="1" applyFont="1" applyFill="1" applyBorder="1"/>
    <xf numFmtId="4" fontId="14" fillId="0" borderId="42" xfId="0" applyNumberFormat="1" applyFont="1" applyBorder="1"/>
    <xf numFmtId="49" fontId="6" fillId="0" borderId="1" xfId="0" applyNumberFormat="1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3" fontId="16" fillId="0" borderId="3" xfId="0" applyNumberFormat="1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vertical="center" wrapText="1"/>
    </xf>
    <xf numFmtId="4" fontId="5" fillId="0" borderId="26" xfId="0" applyNumberFormat="1" applyFont="1" applyFill="1" applyBorder="1" applyAlignment="1">
      <alignment vertical="center"/>
    </xf>
    <xf numFmtId="0" fontId="8" fillId="0" borderId="21" xfId="0" applyFont="1" applyFill="1" applyBorder="1" applyAlignment="1">
      <alignment horizontal="center"/>
    </xf>
    <xf numFmtId="3" fontId="17" fillId="0" borderId="22" xfId="0" applyNumberFormat="1" applyFont="1" applyFill="1" applyBorder="1"/>
    <xf numFmtId="4" fontId="0" fillId="0" borderId="23" xfId="0" applyNumberFormat="1" applyBorder="1"/>
    <xf numFmtId="0" fontId="8" fillId="0" borderId="24" xfId="0" applyFont="1" applyFill="1" applyBorder="1" applyAlignment="1">
      <alignment horizontal="center"/>
    </xf>
    <xf numFmtId="3" fontId="17" fillId="0" borderId="25" xfId="0" applyNumberFormat="1" applyFont="1" applyFill="1" applyBorder="1"/>
    <xf numFmtId="3" fontId="8" fillId="0" borderId="51" xfId="0" applyNumberFormat="1" applyFont="1" applyFill="1" applyBorder="1"/>
    <xf numFmtId="4" fontId="8" fillId="0" borderId="51" xfId="0" applyNumberFormat="1" applyFont="1" applyFill="1" applyBorder="1"/>
    <xf numFmtId="4" fontId="0" fillId="0" borderId="24" xfId="0" applyNumberFormat="1" applyBorder="1"/>
    <xf numFmtId="0" fontId="8" fillId="0" borderId="36" xfId="0" applyFont="1" applyFill="1" applyBorder="1"/>
    <xf numFmtId="4" fontId="8" fillId="0" borderId="36" xfId="0" applyNumberFormat="1" applyFont="1" applyFill="1" applyBorder="1"/>
    <xf numFmtId="3" fontId="8" fillId="0" borderId="26" xfId="0" applyNumberFormat="1" applyFont="1" applyFill="1" applyBorder="1"/>
    <xf numFmtId="3" fontId="17" fillId="0" borderId="8" xfId="0" applyNumberFormat="1" applyFont="1" applyFill="1" applyBorder="1"/>
    <xf numFmtId="4" fontId="0" fillId="0" borderId="29" xfId="0" applyNumberFormat="1" applyBorder="1"/>
    <xf numFmtId="4" fontId="0" fillId="0" borderId="29" xfId="0" applyNumberFormat="1" applyFont="1" applyBorder="1"/>
    <xf numFmtId="49" fontId="6" fillId="0" borderId="30" xfId="0" applyNumberFormat="1" applyFont="1" applyFill="1" applyBorder="1"/>
    <xf numFmtId="3" fontId="6" fillId="0" borderId="15" xfId="0" applyNumberFormat="1" applyFont="1" applyFill="1" applyBorder="1" applyAlignment="1">
      <alignment horizontal="right"/>
    </xf>
    <xf numFmtId="3" fontId="16" fillId="0" borderId="14" xfId="0" applyNumberFormat="1" applyFont="1" applyFill="1" applyBorder="1"/>
    <xf numFmtId="4" fontId="16" fillId="0" borderId="14" xfId="0" applyNumberFormat="1" applyFont="1" applyFill="1" applyBorder="1"/>
    <xf numFmtId="4" fontId="0" fillId="0" borderId="17" xfId="0" applyNumberFormat="1" applyBorder="1"/>
    <xf numFmtId="0" fontId="10" fillId="0" borderId="52" xfId="0" applyNumberFormat="1" applyFont="1" applyFill="1" applyBorder="1" applyAlignment="1">
      <alignment horizontal="center"/>
    </xf>
    <xf numFmtId="3" fontId="10" fillId="0" borderId="21" xfId="0" applyNumberFormat="1" applyFont="1" applyFill="1" applyBorder="1" applyAlignment="1">
      <alignment horizontal="right"/>
    </xf>
    <xf numFmtId="4" fontId="10" fillId="0" borderId="21" xfId="0" applyNumberFormat="1" applyFont="1" applyFill="1" applyBorder="1"/>
    <xf numFmtId="4" fontId="10" fillId="0" borderId="22" xfId="0" applyNumberFormat="1" applyFont="1" applyFill="1" applyBorder="1"/>
    <xf numFmtId="3" fontId="18" fillId="0" borderId="22" xfId="0" applyNumberFormat="1" applyFont="1" applyFill="1" applyBorder="1"/>
    <xf numFmtId="0" fontId="10" fillId="0" borderId="51" xfId="0" applyNumberFormat="1" applyFont="1" applyFill="1" applyBorder="1" applyAlignment="1">
      <alignment horizontal="center"/>
    </xf>
    <xf numFmtId="3" fontId="10" fillId="0" borderId="24" xfId="0" applyNumberFormat="1" applyFont="1" applyFill="1" applyBorder="1" applyAlignment="1">
      <alignment horizontal="right"/>
    </xf>
    <xf numFmtId="4" fontId="10" fillId="0" borderId="24" xfId="0" applyNumberFormat="1" applyFont="1" applyFill="1" applyBorder="1"/>
    <xf numFmtId="0" fontId="10" fillId="0" borderId="53" xfId="0" applyNumberFormat="1" applyFont="1" applyFill="1" applyBorder="1" applyAlignment="1">
      <alignment horizontal="center"/>
    </xf>
    <xf numFmtId="0" fontId="10" fillId="0" borderId="53" xfId="0" applyFont="1" applyFill="1" applyBorder="1"/>
    <xf numFmtId="3" fontId="10" fillId="0" borderId="53" xfId="0" applyNumberFormat="1" applyFont="1" applyFill="1" applyBorder="1" applyAlignment="1">
      <alignment horizontal="right"/>
    </xf>
    <xf numFmtId="4" fontId="10" fillId="0" borderId="34" xfId="0" applyNumberFormat="1" applyFont="1" applyFill="1" applyBorder="1"/>
    <xf numFmtId="3" fontId="18" fillId="0" borderId="34" xfId="0" applyNumberFormat="1" applyFont="1" applyFill="1" applyBorder="1"/>
    <xf numFmtId="0" fontId="8" fillId="0" borderId="52" xfId="0" applyFont="1" applyFill="1" applyBorder="1"/>
    <xf numFmtId="3" fontId="8" fillId="0" borderId="52" xfId="0" applyNumberFormat="1" applyFont="1" applyFill="1" applyBorder="1" applyAlignment="1">
      <alignment horizontal="right"/>
    </xf>
    <xf numFmtId="0" fontId="8" fillId="0" borderId="51" xfId="0" applyFont="1" applyFill="1" applyBorder="1"/>
    <xf numFmtId="3" fontId="8" fillId="0" borderId="51" xfId="0" applyNumberFormat="1" applyFont="1" applyFill="1" applyBorder="1" applyAlignment="1">
      <alignment horizontal="right"/>
    </xf>
    <xf numFmtId="3" fontId="8" fillId="0" borderId="36" xfId="0" applyNumberFormat="1" applyFont="1" applyFill="1" applyBorder="1" applyAlignment="1">
      <alignment horizontal="right"/>
    </xf>
    <xf numFmtId="0" fontId="8" fillId="0" borderId="12" xfId="0" applyFont="1" applyFill="1" applyBorder="1"/>
    <xf numFmtId="3" fontId="17" fillId="0" borderId="16" xfId="0" applyNumberFormat="1" applyFont="1" applyFill="1" applyBorder="1"/>
    <xf numFmtId="0" fontId="8" fillId="0" borderId="52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3" fontId="8" fillId="0" borderId="36" xfId="0" applyNumberFormat="1" applyFont="1" applyFill="1" applyBorder="1"/>
    <xf numFmtId="3" fontId="6" fillId="0" borderId="17" xfId="0" applyNumberFormat="1" applyFont="1" applyFill="1" applyBorder="1" applyAlignment="1">
      <alignment horizontal="right"/>
    </xf>
    <xf numFmtId="4" fontId="4" fillId="0" borderId="17" xfId="0" applyNumberFormat="1" applyFont="1" applyBorder="1"/>
    <xf numFmtId="49" fontId="2" fillId="0" borderId="20" xfId="0" applyNumberFormat="1" applyFont="1" applyFill="1" applyBorder="1"/>
    <xf numFmtId="0" fontId="10" fillId="0" borderId="36" xfId="0" applyNumberFormat="1" applyFont="1" applyFill="1" applyBorder="1" applyAlignment="1">
      <alignment horizontal="center"/>
    </xf>
    <xf numFmtId="0" fontId="8" fillId="0" borderId="54" xfId="0" applyFont="1" applyFill="1" applyBorder="1"/>
    <xf numFmtId="3" fontId="8" fillId="0" borderId="12" xfId="0" applyNumberFormat="1" applyFont="1" applyFill="1" applyBorder="1" applyAlignment="1">
      <alignment horizontal="right"/>
    </xf>
    <xf numFmtId="4" fontId="0" fillId="0" borderId="12" xfId="0" applyNumberFormat="1" applyBorder="1"/>
    <xf numFmtId="0" fontId="8" fillId="0" borderId="55" xfId="0" applyFont="1" applyFill="1" applyBorder="1"/>
    <xf numFmtId="0" fontId="8" fillId="0" borderId="56" xfId="0" applyFont="1" applyFill="1" applyBorder="1" applyAlignment="1">
      <alignment horizontal="center"/>
    </xf>
    <xf numFmtId="3" fontId="8" fillId="0" borderId="21" xfId="0" applyNumberFormat="1" applyFont="1" applyFill="1" applyBorder="1" applyAlignment="1">
      <alignment horizontal="right"/>
    </xf>
    <xf numFmtId="3" fontId="8" fillId="0" borderId="24" xfId="0" applyNumberFormat="1" applyFont="1" applyFill="1" applyBorder="1" applyAlignment="1">
      <alignment horizontal="right"/>
    </xf>
    <xf numFmtId="3" fontId="8" fillId="0" borderId="12" xfId="0" applyNumberFormat="1" applyFont="1" applyFill="1" applyBorder="1"/>
    <xf numFmtId="3" fontId="0" fillId="0" borderId="0" xfId="0" applyNumberFormat="1"/>
    <xf numFmtId="0" fontId="8" fillId="0" borderId="57" xfId="0" applyFont="1" applyFill="1" applyBorder="1" applyAlignment="1">
      <alignment horizontal="center"/>
    </xf>
    <xf numFmtId="0" fontId="8" fillId="0" borderId="58" xfId="0" applyFont="1" applyFill="1" applyBorder="1"/>
    <xf numFmtId="3" fontId="8" fillId="0" borderId="26" xfId="0" applyNumberFormat="1" applyFont="1" applyFill="1" applyBorder="1" applyAlignment="1">
      <alignment horizontal="right"/>
    </xf>
    <xf numFmtId="0" fontId="8" fillId="0" borderId="26" xfId="0" applyFont="1" applyFill="1" applyBorder="1"/>
    <xf numFmtId="4" fontId="8" fillId="0" borderId="17" xfId="0" applyNumberFormat="1" applyFont="1" applyFill="1" applyBorder="1"/>
    <xf numFmtId="3" fontId="17" fillId="0" borderId="14" xfId="0" applyNumberFormat="1" applyFont="1" applyFill="1" applyBorder="1"/>
    <xf numFmtId="14" fontId="6" fillId="0" borderId="30" xfId="0" applyNumberFormat="1" applyFont="1" applyFill="1" applyBorder="1"/>
    <xf numFmtId="3" fontId="20" fillId="0" borderId="14" xfId="0" applyNumberFormat="1" applyFont="1" applyFill="1" applyBorder="1"/>
    <xf numFmtId="4" fontId="20" fillId="0" borderId="14" xfId="0" applyNumberFormat="1" applyFont="1" applyFill="1" applyBorder="1"/>
    <xf numFmtId="0" fontId="8" fillId="0" borderId="20" xfId="0" applyFont="1" applyFill="1" applyBorder="1"/>
    <xf numFmtId="0" fontId="8" fillId="0" borderId="36" xfId="0" applyFont="1" applyFill="1" applyBorder="1" applyAlignment="1">
      <alignment horizontal="center"/>
    </xf>
    <xf numFmtId="2" fontId="8" fillId="0" borderId="12" xfId="0" applyNumberFormat="1" applyFont="1" applyFill="1" applyBorder="1"/>
    <xf numFmtId="4" fontId="0" fillId="0" borderId="21" xfId="0" applyNumberFormat="1" applyBorder="1"/>
    <xf numFmtId="0" fontId="8" fillId="0" borderId="29" xfId="0" applyFont="1" applyFill="1" applyBorder="1" applyAlignment="1">
      <alignment horizontal="center"/>
    </xf>
    <xf numFmtId="3" fontId="8" fillId="0" borderId="29" xfId="0" applyNumberFormat="1" applyFont="1" applyFill="1" applyBorder="1" applyAlignment="1">
      <alignment horizontal="right"/>
    </xf>
    <xf numFmtId="4" fontId="8" fillId="0" borderId="29" xfId="0" applyNumberFormat="1" applyFont="1" applyFill="1" applyBorder="1"/>
    <xf numFmtId="3" fontId="17" fillId="0" borderId="34" xfId="0" applyNumberFormat="1" applyFont="1" applyFill="1" applyBorder="1"/>
    <xf numFmtId="0" fontId="8" fillId="0" borderId="27" xfId="0" applyFont="1" applyFill="1" applyBorder="1" applyAlignment="1">
      <alignment horizontal="center"/>
    </xf>
    <xf numFmtId="3" fontId="8" fillId="0" borderId="27" xfId="0" applyNumberFormat="1" applyFont="1" applyFill="1" applyBorder="1" applyAlignment="1">
      <alignment horizontal="right"/>
    </xf>
    <xf numFmtId="4" fontId="8" fillId="0" borderId="27" xfId="0" applyNumberFormat="1" applyFont="1" applyFill="1" applyBorder="1"/>
    <xf numFmtId="3" fontId="17" fillId="0" borderId="28" xfId="0" applyNumberFormat="1" applyFont="1" applyFill="1" applyBorder="1"/>
    <xf numFmtId="4" fontId="0" fillId="0" borderId="27" xfId="0" applyNumberFormat="1" applyBorder="1"/>
    <xf numFmtId="0" fontId="10" fillId="0" borderId="59" xfId="0" applyFont="1" applyFill="1" applyBorder="1" applyAlignment="1">
      <alignment horizontal="center"/>
    </xf>
    <xf numFmtId="0" fontId="10" fillId="0" borderId="52" xfId="0" applyFont="1" applyFill="1" applyBorder="1" applyAlignment="1">
      <alignment horizontal="left"/>
    </xf>
    <xf numFmtId="3" fontId="10" fillId="0" borderId="52" xfId="0" applyNumberFormat="1" applyFont="1" applyFill="1" applyBorder="1" applyAlignment="1">
      <alignment horizontal="right"/>
    </xf>
    <xf numFmtId="0" fontId="10" fillId="0" borderId="52" xfId="0" applyFont="1" applyFill="1" applyBorder="1" applyAlignment="1">
      <alignment horizontal="right"/>
    </xf>
    <xf numFmtId="0" fontId="10" fillId="0" borderId="59" xfId="0" applyFont="1" applyFill="1" applyBorder="1" applyAlignment="1">
      <alignment horizontal="left"/>
    </xf>
    <xf numFmtId="3" fontId="10" fillId="0" borderId="59" xfId="0" applyNumberFormat="1" applyFont="1" applyFill="1" applyBorder="1" applyAlignment="1">
      <alignment horizontal="right"/>
    </xf>
    <xf numFmtId="0" fontId="10" fillId="0" borderId="59" xfId="0" applyFont="1" applyFill="1" applyBorder="1" applyAlignment="1">
      <alignment horizontal="right"/>
    </xf>
    <xf numFmtId="4" fontId="10" fillId="0" borderId="32" xfId="0" applyNumberFormat="1" applyFont="1" applyFill="1" applyBorder="1"/>
    <xf numFmtId="3" fontId="18" fillId="0" borderId="32" xfId="0" applyNumberFormat="1" applyFont="1" applyFill="1" applyBorder="1"/>
    <xf numFmtId="0" fontId="8" fillId="0" borderId="9" xfId="0" applyFont="1" applyFill="1" applyBorder="1"/>
    <xf numFmtId="3" fontId="8" fillId="0" borderId="9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right"/>
    </xf>
    <xf numFmtId="3" fontId="18" fillId="0" borderId="8" xfId="0" applyNumberFormat="1" applyFont="1" applyFill="1" applyBorder="1"/>
    <xf numFmtId="49" fontId="6" fillId="0" borderId="7" xfId="0" applyNumberFormat="1" applyFont="1" applyFill="1" applyBorder="1"/>
    <xf numFmtId="3" fontId="6" fillId="0" borderId="9" xfId="0" applyNumberFormat="1" applyFont="1" applyFill="1" applyBorder="1" applyAlignment="1">
      <alignment horizontal="right"/>
    </xf>
    <xf numFmtId="3" fontId="16" fillId="0" borderId="8" xfId="0" applyNumberFormat="1" applyFont="1" applyFill="1" applyBorder="1"/>
    <xf numFmtId="4" fontId="16" fillId="0" borderId="8" xfId="0" applyNumberFormat="1" applyFont="1" applyFill="1" applyBorder="1"/>
    <xf numFmtId="3" fontId="10" fillId="0" borderId="15" xfId="0" applyNumberFormat="1" applyFont="1" applyFill="1" applyBorder="1" applyAlignment="1">
      <alignment horizontal="right"/>
    </xf>
    <xf numFmtId="4" fontId="10" fillId="0" borderId="17" xfId="0" applyNumberFormat="1" applyFont="1" applyFill="1" applyBorder="1"/>
    <xf numFmtId="4" fontId="17" fillId="0" borderId="14" xfId="0" applyNumberFormat="1" applyFont="1" applyFill="1" applyBorder="1"/>
    <xf numFmtId="0" fontId="10" fillId="0" borderId="59" xfId="0" applyNumberFormat="1" applyFont="1" applyFill="1" applyBorder="1" applyAlignment="1">
      <alignment horizontal="center"/>
    </xf>
    <xf numFmtId="3" fontId="17" fillId="0" borderId="32" xfId="0" applyNumberFormat="1" applyFont="1" applyFill="1" applyBorder="1"/>
    <xf numFmtId="0" fontId="10" fillId="0" borderId="9" xfId="0" applyNumberFormat="1" applyFont="1" applyFill="1" applyBorder="1" applyAlignment="1">
      <alignment horizontal="center"/>
    </xf>
    <xf numFmtId="3" fontId="10" fillId="0" borderId="26" xfId="0" applyNumberFormat="1" applyFont="1" applyFill="1" applyBorder="1"/>
    <xf numFmtId="4" fontId="12" fillId="0" borderId="26" xfId="0" applyNumberFormat="1" applyFont="1" applyBorder="1"/>
    <xf numFmtId="4" fontId="10" fillId="0" borderId="23" xfId="0" applyNumberFormat="1" applyFont="1" applyFill="1" applyBorder="1"/>
    <xf numFmtId="3" fontId="10" fillId="0" borderId="29" xfId="0" applyNumberFormat="1" applyFont="1" applyFill="1" applyBorder="1"/>
    <xf numFmtId="0" fontId="21" fillId="0" borderId="25" xfId="0" applyFont="1" applyFill="1" applyBorder="1"/>
    <xf numFmtId="0" fontId="10" fillId="0" borderId="12" xfId="0" applyFont="1" applyFill="1" applyBorder="1"/>
    <xf numFmtId="0" fontId="10" fillId="0" borderId="0" xfId="0" applyNumberFormat="1" applyFont="1" applyFill="1" applyBorder="1" applyAlignment="1">
      <alignment horizontal="center"/>
    </xf>
    <xf numFmtId="3" fontId="10" fillId="0" borderId="12" xfId="0" applyNumberFormat="1" applyFont="1" applyFill="1" applyBorder="1"/>
    <xf numFmtId="4" fontId="10" fillId="0" borderId="28" xfId="0" applyNumberFormat="1" applyFont="1" applyFill="1" applyBorder="1"/>
    <xf numFmtId="0" fontId="21" fillId="0" borderId="28" xfId="0" applyFont="1" applyFill="1" applyBorder="1"/>
    <xf numFmtId="0" fontId="6" fillId="0" borderId="15" xfId="0" applyFont="1" applyFill="1" applyBorder="1" applyAlignment="1">
      <alignment horizontal="right"/>
    </xf>
    <xf numFmtId="49" fontId="10" fillId="0" borderId="52" xfId="0" applyNumberFormat="1" applyFont="1" applyFill="1" applyBorder="1" applyAlignment="1">
      <alignment horizontal="center"/>
    </xf>
    <xf numFmtId="4" fontId="18" fillId="0" borderId="32" xfId="0" applyNumberFormat="1" applyFont="1" applyFill="1" applyBorder="1"/>
    <xf numFmtId="49" fontId="10" fillId="0" borderId="51" xfId="0" applyNumberFormat="1" applyFont="1" applyFill="1" applyBorder="1" applyAlignment="1">
      <alignment horizontal="center"/>
    </xf>
    <xf numFmtId="3" fontId="18" fillId="0" borderId="25" xfId="0" applyNumberFormat="1" applyFont="1" applyFill="1" applyBorder="1"/>
    <xf numFmtId="4" fontId="18" fillId="0" borderId="25" xfId="0" applyNumberFormat="1" applyFont="1" applyFill="1" applyBorder="1"/>
    <xf numFmtId="0" fontId="8" fillId="0" borderId="53" xfId="0" applyFont="1" applyFill="1" applyBorder="1" applyAlignment="1">
      <alignment horizontal="center"/>
    </xf>
    <xf numFmtId="4" fontId="17" fillId="0" borderId="34" xfId="0" applyNumberFormat="1" applyFont="1" applyFill="1" applyBorder="1"/>
    <xf numFmtId="49" fontId="10" fillId="0" borderId="52" xfId="0" applyNumberFormat="1" applyFont="1" applyFill="1" applyBorder="1" applyAlignment="1">
      <alignment horizontal="left"/>
    </xf>
    <xf numFmtId="3" fontId="10" fillId="0" borderId="52" xfId="0" applyNumberFormat="1" applyFont="1" applyFill="1" applyBorder="1" applyAlignment="1">
      <alignment horizontal="left"/>
    </xf>
    <xf numFmtId="49" fontId="10" fillId="0" borderId="52" xfId="0" applyNumberFormat="1" applyFont="1" applyFill="1" applyBorder="1" applyAlignment="1">
      <alignment horizontal="right"/>
    </xf>
    <xf numFmtId="49" fontId="8" fillId="0" borderId="51" xfId="0" applyNumberFormat="1" applyFont="1" applyFill="1" applyBorder="1" applyAlignment="1">
      <alignment horizontal="left"/>
    </xf>
    <xf numFmtId="3" fontId="8" fillId="0" borderId="51" xfId="0" applyNumberFormat="1" applyFont="1" applyFill="1" applyBorder="1" applyAlignment="1">
      <alignment horizontal="left"/>
    </xf>
    <xf numFmtId="49" fontId="8" fillId="0" borderId="51" xfId="0" applyNumberFormat="1" applyFont="1" applyFill="1" applyBorder="1" applyAlignment="1">
      <alignment horizontal="right"/>
    </xf>
    <xf numFmtId="3" fontId="8" fillId="0" borderId="61" xfId="0" applyNumberFormat="1" applyFont="1" applyFill="1" applyBorder="1" applyAlignment="1">
      <alignment horizontal="right"/>
    </xf>
    <xf numFmtId="4" fontId="8" fillId="0" borderId="23" xfId="0" applyNumberFormat="1" applyFont="1" applyFill="1" applyBorder="1" applyAlignment="1">
      <alignment horizontal="right"/>
    </xf>
    <xf numFmtId="3" fontId="8" fillId="0" borderId="62" xfId="0" applyNumberFormat="1" applyFont="1" applyFill="1" applyBorder="1" applyAlignment="1">
      <alignment horizontal="left"/>
    </xf>
    <xf numFmtId="3" fontId="8" fillId="0" borderId="62" xfId="0" applyNumberFormat="1" applyFont="1" applyFill="1" applyBorder="1" applyAlignment="1">
      <alignment horizontal="right"/>
    </xf>
    <xf numFmtId="49" fontId="8" fillId="0" borderId="62" xfId="0" applyNumberFormat="1" applyFont="1" applyFill="1" applyBorder="1" applyAlignment="1">
      <alignment horizontal="right"/>
    </xf>
    <xf numFmtId="3" fontId="8" fillId="0" borderId="63" xfId="0" applyNumberFormat="1" applyFont="1" applyFill="1" applyBorder="1" applyAlignment="1">
      <alignment horizontal="right"/>
    </xf>
    <xf numFmtId="4" fontId="8" fillId="0" borderId="12" xfId="0" applyNumberFormat="1" applyFont="1" applyFill="1" applyBorder="1" applyAlignment="1">
      <alignment horizontal="right"/>
    </xf>
    <xf numFmtId="49" fontId="8" fillId="0" borderId="27" xfId="0" applyNumberFormat="1" applyFont="1" applyFill="1" applyBorder="1"/>
    <xf numFmtId="49" fontId="8" fillId="0" borderId="27" xfId="0" applyNumberFormat="1" applyFont="1" applyFill="1" applyBorder="1" applyAlignment="1">
      <alignment horizontal="right"/>
    </xf>
    <xf numFmtId="3" fontId="8" fillId="0" borderId="64" xfId="0" applyNumberFormat="1" applyFont="1" applyFill="1" applyBorder="1" applyAlignment="1">
      <alignment horizontal="right"/>
    </xf>
    <xf numFmtId="4" fontId="8" fillId="0" borderId="27" xfId="0" applyNumberFormat="1" applyFont="1" applyFill="1" applyBorder="1" applyAlignment="1">
      <alignment horizontal="right"/>
    </xf>
    <xf numFmtId="3" fontId="18" fillId="0" borderId="28" xfId="0" applyNumberFormat="1" applyFont="1" applyFill="1" applyBorder="1"/>
    <xf numFmtId="49" fontId="6" fillId="0" borderId="7" xfId="0" applyNumberFormat="1" applyFont="1" applyFill="1" applyBorder="1" applyAlignment="1">
      <alignment horizontal="left"/>
    </xf>
    <xf numFmtId="3" fontId="9" fillId="0" borderId="9" xfId="0" applyNumberFormat="1" applyFont="1" applyFill="1" applyBorder="1" applyAlignment="1">
      <alignment horizontal="left"/>
    </xf>
    <xf numFmtId="0" fontId="9" fillId="0" borderId="9" xfId="0" applyNumberFormat="1" applyFont="1" applyFill="1" applyBorder="1" applyAlignment="1">
      <alignment horizontal="right"/>
    </xf>
    <xf numFmtId="3" fontId="9" fillId="0" borderId="26" xfId="0" applyNumberFormat="1" applyFont="1" applyFill="1" applyBorder="1"/>
    <xf numFmtId="4" fontId="9" fillId="0" borderId="26" xfId="0" applyNumberFormat="1" applyFont="1" applyFill="1" applyBorder="1"/>
    <xf numFmtId="3" fontId="9" fillId="0" borderId="8" xfId="0" applyNumberFormat="1" applyFont="1" applyFill="1" applyBorder="1"/>
    <xf numFmtId="3" fontId="22" fillId="0" borderId="8" xfId="0" applyNumberFormat="1" applyFont="1" applyFill="1" applyBorder="1"/>
    <xf numFmtId="49" fontId="8" fillId="0" borderId="9" xfId="0" applyNumberFormat="1" applyFont="1" applyFill="1" applyBorder="1"/>
    <xf numFmtId="3" fontId="8" fillId="0" borderId="9" xfId="0" applyNumberFormat="1" applyFont="1" applyFill="1" applyBorder="1"/>
    <xf numFmtId="49" fontId="8" fillId="0" borderId="9" xfId="0" applyNumberFormat="1" applyFont="1" applyFill="1" applyBorder="1" applyAlignment="1">
      <alignment horizontal="right"/>
    </xf>
    <xf numFmtId="0" fontId="8" fillId="0" borderId="53" xfId="0" applyFont="1" applyFill="1" applyBorder="1"/>
    <xf numFmtId="3" fontId="8" fillId="0" borderId="53" xfId="0" applyNumberFormat="1" applyFont="1" applyFill="1" applyBorder="1" applyAlignment="1">
      <alignment horizontal="right"/>
    </xf>
    <xf numFmtId="3" fontId="8" fillId="0" borderId="53" xfId="0" applyNumberFormat="1" applyFont="1" applyFill="1" applyBorder="1"/>
    <xf numFmtId="49" fontId="6" fillId="0" borderId="17" xfId="0" applyNumberFormat="1" applyFont="1" applyFill="1" applyBorder="1"/>
    <xf numFmtId="0" fontId="8" fillId="0" borderId="62" xfId="0" applyFont="1" applyFill="1" applyBorder="1" applyAlignment="1">
      <alignment horizontal="center"/>
    </xf>
    <xf numFmtId="4" fontId="8" fillId="0" borderId="12" xfId="0" applyNumberFormat="1" applyFont="1" applyFill="1" applyBorder="1"/>
    <xf numFmtId="3" fontId="6" fillId="0" borderId="52" xfId="0" applyNumberFormat="1" applyFont="1" applyFill="1" applyBorder="1" applyAlignment="1">
      <alignment horizontal="right"/>
    </xf>
    <xf numFmtId="3" fontId="6" fillId="0" borderId="21" xfId="0" applyNumberFormat="1" applyFont="1" applyFill="1" applyBorder="1"/>
    <xf numFmtId="3" fontId="16" fillId="0" borderId="22" xfId="0" applyNumberFormat="1" applyFont="1" applyFill="1" applyBorder="1"/>
    <xf numFmtId="3" fontId="6" fillId="0" borderId="59" xfId="0" applyNumberFormat="1" applyFont="1" applyFill="1" applyBorder="1" applyAlignment="1">
      <alignment horizontal="right"/>
    </xf>
    <xf numFmtId="3" fontId="6" fillId="0" borderId="23" xfId="0" applyNumberFormat="1" applyFont="1" applyFill="1" applyBorder="1"/>
    <xf numFmtId="4" fontId="6" fillId="0" borderId="32" xfId="0" applyNumberFormat="1" applyFont="1" applyFill="1" applyBorder="1"/>
    <xf numFmtId="3" fontId="6" fillId="0" borderId="32" xfId="0" applyNumberFormat="1" applyFont="1" applyFill="1" applyBorder="1"/>
    <xf numFmtId="3" fontId="16" fillId="0" borderId="32" xfId="0" applyNumberFormat="1" applyFont="1" applyFill="1" applyBorder="1"/>
    <xf numFmtId="0" fontId="8" fillId="0" borderId="59" xfId="0" applyFont="1" applyFill="1" applyBorder="1" applyAlignment="1">
      <alignment horizontal="center"/>
    </xf>
    <xf numFmtId="0" fontId="8" fillId="0" borderId="30" xfId="0" applyFont="1" applyFill="1" applyBorder="1"/>
    <xf numFmtId="0" fontId="8" fillId="0" borderId="15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3" fontId="6" fillId="0" borderId="22" xfId="0" applyNumberFormat="1" applyFont="1" applyFill="1" applyBorder="1"/>
    <xf numFmtId="4" fontId="17" fillId="0" borderId="22" xfId="0" applyNumberFormat="1" applyFont="1" applyFill="1" applyBorder="1"/>
    <xf numFmtId="4" fontId="0" fillId="0" borderId="21" xfId="0" applyNumberFormat="1" applyFont="1" applyBorder="1"/>
    <xf numFmtId="0" fontId="19" fillId="0" borderId="0" xfId="0" applyFont="1"/>
    <xf numFmtId="3" fontId="18" fillId="0" borderId="24" xfId="0" applyNumberFormat="1" applyFont="1" applyFill="1" applyBorder="1"/>
    <xf numFmtId="49" fontId="2" fillId="0" borderId="65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49" fontId="2" fillId="0" borderId="64" xfId="0" applyNumberFormat="1" applyFont="1" applyFill="1" applyBorder="1" applyAlignment="1">
      <alignment horizontal="center"/>
    </xf>
    <xf numFmtId="49" fontId="2" fillId="0" borderId="52" xfId="0" applyNumberFormat="1" applyFont="1" applyFill="1" applyBorder="1" applyAlignment="1">
      <alignment horizontal="center"/>
    </xf>
    <xf numFmtId="3" fontId="8" fillId="0" borderId="52" xfId="0" applyNumberFormat="1" applyFont="1" applyFill="1" applyBorder="1"/>
    <xf numFmtId="49" fontId="2" fillId="0" borderId="59" xfId="0" applyNumberFormat="1" applyFont="1" applyFill="1" applyBorder="1" applyAlignment="1">
      <alignment horizontal="center"/>
    </xf>
    <xf numFmtId="3" fontId="8" fillId="0" borderId="59" xfId="0" applyNumberFormat="1" applyFont="1" applyFill="1" applyBorder="1"/>
    <xf numFmtId="0" fontId="8" fillId="0" borderId="59" xfId="0" applyFont="1" applyFill="1" applyBorder="1"/>
    <xf numFmtId="4" fontId="0" fillId="0" borderId="0" xfId="0" applyNumberFormat="1"/>
    <xf numFmtId="49" fontId="2" fillId="0" borderId="51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9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3" fontId="3" fillId="0" borderId="14" xfId="0" applyNumberFormat="1" applyFont="1" applyFill="1" applyBorder="1"/>
    <xf numFmtId="4" fontId="3" fillId="0" borderId="14" xfId="0" applyNumberFormat="1" applyFont="1" applyFill="1" applyBorder="1"/>
    <xf numFmtId="4" fontId="12" fillId="0" borderId="12" xfId="0" applyNumberFormat="1" applyFont="1" applyFill="1" applyBorder="1"/>
    <xf numFmtId="3" fontId="12" fillId="0" borderId="16" xfId="0" applyNumberFormat="1" applyFont="1" applyFill="1" applyBorder="1"/>
    <xf numFmtId="4" fontId="12" fillId="0" borderId="16" xfId="0" applyNumberFormat="1" applyFont="1" applyFill="1" applyBorder="1"/>
    <xf numFmtId="3" fontId="21" fillId="0" borderId="16" xfId="0" applyNumberFormat="1" applyFont="1" applyFill="1" applyBorder="1"/>
    <xf numFmtId="4" fontId="12" fillId="0" borderId="24" xfId="0" applyNumberFormat="1" applyFont="1" applyFill="1" applyBorder="1"/>
    <xf numFmtId="3" fontId="21" fillId="0" borderId="25" xfId="0" applyNumberFormat="1" applyFont="1" applyFill="1" applyBorder="1"/>
    <xf numFmtId="3" fontId="22" fillId="0" borderId="14" xfId="0" applyNumberFormat="1" applyFont="1" applyFill="1" applyBorder="1"/>
    <xf numFmtId="4" fontId="22" fillId="0" borderId="14" xfId="0" applyNumberFormat="1" applyFont="1" applyFill="1" applyBorder="1"/>
    <xf numFmtId="16" fontId="6" fillId="0" borderId="30" xfId="0" applyNumberFormat="1" applyFont="1" applyFill="1" applyBorder="1"/>
    <xf numFmtId="0" fontId="8" fillId="0" borderId="23" xfId="0" applyFont="1" applyFill="1" applyBorder="1" applyAlignment="1">
      <alignment horizontal="center"/>
    </xf>
    <xf numFmtId="3" fontId="9" fillId="0" borderId="27" xfId="0" applyNumberFormat="1" applyFont="1" applyFill="1" applyBorder="1"/>
    <xf numFmtId="3" fontId="9" fillId="0" borderId="9" xfId="0" applyNumberFormat="1" applyFont="1" applyFill="1" applyBorder="1" applyAlignment="1">
      <alignment horizontal="right"/>
    </xf>
    <xf numFmtId="4" fontId="9" fillId="0" borderId="27" xfId="0" applyNumberFormat="1" applyFont="1" applyFill="1" applyBorder="1"/>
    <xf numFmtId="3" fontId="22" fillId="0" borderId="28" xfId="0" applyNumberFormat="1" applyFont="1" applyFill="1" applyBorder="1"/>
    <xf numFmtId="0" fontId="12" fillId="0" borderId="53" xfId="0" applyFont="1" applyFill="1" applyBorder="1" applyAlignment="1">
      <alignment horizontal="center"/>
    </xf>
    <xf numFmtId="0" fontId="19" fillId="0" borderId="17" xfId="0" applyFont="1" applyFill="1" applyBorder="1"/>
    <xf numFmtId="4" fontId="8" fillId="0" borderId="26" xfId="0" applyNumberFormat="1" applyFont="1" applyFill="1" applyBorder="1"/>
    <xf numFmtId="0" fontId="6" fillId="0" borderId="30" xfId="0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horizontal="right" vertical="center" wrapText="1"/>
    </xf>
    <xf numFmtId="3" fontId="19" fillId="0" borderId="17" xfId="0" applyNumberFormat="1" applyFont="1" applyFill="1" applyBorder="1" applyAlignment="1">
      <alignment vertical="center" wrapText="1"/>
    </xf>
    <xf numFmtId="4" fontId="19" fillId="0" borderId="17" xfId="0" applyNumberFormat="1" applyFont="1" applyFill="1" applyBorder="1" applyAlignment="1">
      <alignment vertical="center" wrapText="1"/>
    </xf>
    <xf numFmtId="3" fontId="23" fillId="0" borderId="14" xfId="0" applyNumberFormat="1" applyFont="1" applyFill="1" applyBorder="1" applyAlignment="1">
      <alignment vertical="center" wrapText="1"/>
    </xf>
    <xf numFmtId="4" fontId="23" fillId="0" borderId="14" xfId="0" applyNumberFormat="1" applyFont="1" applyFill="1" applyBorder="1" applyAlignment="1">
      <alignment vertical="center" wrapText="1"/>
    </xf>
    <xf numFmtId="4" fontId="4" fillId="0" borderId="17" xfId="0" applyNumberFormat="1" applyFont="1" applyBorder="1" applyAlignment="1">
      <alignment vertical="center"/>
    </xf>
    <xf numFmtId="3" fontId="2" fillId="0" borderId="15" xfId="0" applyNumberFormat="1" applyFont="1" applyFill="1" applyBorder="1" applyAlignment="1">
      <alignment horizontal="right" vertical="center" wrapText="1"/>
    </xf>
    <xf numFmtId="3" fontId="4" fillId="0" borderId="17" xfId="0" applyNumberFormat="1" applyFont="1" applyFill="1" applyBorder="1" applyAlignment="1">
      <alignment vertical="center" wrapText="1"/>
    </xf>
    <xf numFmtId="4" fontId="4" fillId="0" borderId="17" xfId="0" applyNumberFormat="1" applyFont="1" applyFill="1" applyBorder="1" applyAlignment="1">
      <alignment vertical="center" wrapText="1"/>
    </xf>
    <xf numFmtId="3" fontId="12" fillId="0" borderId="21" xfId="0" applyNumberFormat="1" applyFont="1" applyFill="1" applyBorder="1" applyAlignment="1">
      <alignment vertical="center" wrapText="1"/>
    </xf>
    <xf numFmtId="4" fontId="12" fillId="0" borderId="21" xfId="0" applyNumberFormat="1" applyFont="1" applyFill="1" applyBorder="1" applyAlignment="1">
      <alignment vertical="center" wrapText="1"/>
    </xf>
    <xf numFmtId="3" fontId="12" fillId="0" borderId="22" xfId="0" applyNumberFormat="1" applyFont="1" applyFill="1" applyBorder="1" applyAlignment="1">
      <alignment vertical="center" wrapText="1"/>
    </xf>
    <xf numFmtId="4" fontId="12" fillId="0" borderId="22" xfId="0" applyNumberFormat="1" applyFont="1" applyFill="1" applyBorder="1" applyAlignment="1">
      <alignment vertical="center" wrapText="1"/>
    </xf>
    <xf numFmtId="3" fontId="12" fillId="0" borderId="24" xfId="0" applyNumberFormat="1" applyFont="1" applyFill="1" applyBorder="1" applyAlignment="1">
      <alignment vertical="center" wrapText="1"/>
    </xf>
    <xf numFmtId="4" fontId="12" fillId="0" borderId="25" xfId="0" applyNumberFormat="1" applyFont="1" applyFill="1" applyBorder="1" applyAlignment="1">
      <alignment vertical="center" wrapText="1"/>
    </xf>
    <xf numFmtId="3" fontId="12" fillId="0" borderId="25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4" fontId="12" fillId="0" borderId="28" xfId="0" applyNumberFormat="1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vertical="center" wrapText="1"/>
    </xf>
    <xf numFmtId="3" fontId="21" fillId="0" borderId="28" xfId="0" applyNumberFormat="1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3" fontId="8" fillId="0" borderId="62" xfId="0" applyNumberFormat="1" applyFont="1" applyFill="1" applyBorder="1"/>
    <xf numFmtId="0" fontId="8" fillId="0" borderId="62" xfId="0" applyFont="1" applyFill="1" applyBorder="1"/>
    <xf numFmtId="0" fontId="12" fillId="0" borderId="67" xfId="0" applyFont="1" applyFill="1" applyBorder="1" applyAlignment="1">
      <alignment horizontal="center"/>
    </xf>
    <xf numFmtId="0" fontId="8" fillId="0" borderId="68" xfId="0" applyFont="1" applyFill="1" applyBorder="1"/>
    <xf numFmtId="3" fontId="8" fillId="0" borderId="68" xfId="0" applyNumberFormat="1" applyFont="1" applyFill="1" applyBorder="1"/>
    <xf numFmtId="3" fontId="8" fillId="0" borderId="69" xfId="0" applyNumberFormat="1" applyFont="1" applyFill="1" applyBorder="1"/>
    <xf numFmtId="4" fontId="8" fillId="0" borderId="69" xfId="0" applyNumberFormat="1" applyFont="1" applyFill="1" applyBorder="1"/>
    <xf numFmtId="3" fontId="17" fillId="0" borderId="69" xfId="0" applyNumberFormat="1" applyFont="1" applyFill="1" applyBorder="1"/>
    <xf numFmtId="0" fontId="5" fillId="0" borderId="70" xfId="0" applyFont="1" applyFill="1" applyBorder="1"/>
    <xf numFmtId="0" fontId="5" fillId="0" borderId="41" xfId="0" applyFont="1" applyFill="1" applyBorder="1" applyAlignment="1">
      <alignment horizontal="center"/>
    </xf>
    <xf numFmtId="0" fontId="5" fillId="0" borderId="42" xfId="0" applyFont="1" applyFill="1" applyBorder="1"/>
    <xf numFmtId="3" fontId="24" fillId="0" borderId="43" xfId="0" applyNumberFormat="1" applyFont="1" applyFill="1" applyBorder="1"/>
    <xf numFmtId="4" fontId="24" fillId="0" borderId="43" xfId="0" applyNumberFormat="1" applyFont="1" applyFill="1" applyBorder="1"/>
    <xf numFmtId="0" fontId="5" fillId="0" borderId="72" xfId="0" applyFont="1" applyFill="1" applyBorder="1"/>
    <xf numFmtId="3" fontId="5" fillId="0" borderId="26" xfId="0" applyNumberFormat="1" applyFont="1" applyFill="1" applyBorder="1" applyAlignment="1">
      <alignment horizontal="right"/>
    </xf>
    <xf numFmtId="4" fontId="5" fillId="0" borderId="26" xfId="0" applyNumberFormat="1" applyFont="1" applyFill="1" applyBorder="1" applyAlignment="1">
      <alignment horizontal="right"/>
    </xf>
    <xf numFmtId="0" fontId="6" fillId="0" borderId="73" xfId="0" applyFont="1" applyFill="1" applyBorder="1"/>
    <xf numFmtId="0" fontId="2" fillId="0" borderId="38" xfId="0" applyFont="1" applyFill="1" applyBorder="1" applyAlignment="1">
      <alignment horizontal="center"/>
    </xf>
    <xf numFmtId="0" fontId="2" fillId="0" borderId="23" xfId="0" applyFont="1" applyFill="1" applyBorder="1"/>
    <xf numFmtId="0" fontId="2" fillId="0" borderId="32" xfId="0" applyFont="1" applyFill="1" applyBorder="1"/>
    <xf numFmtId="3" fontId="8" fillId="0" borderId="49" xfId="0" applyNumberFormat="1" applyFont="1" applyFill="1" applyBorder="1"/>
    <xf numFmtId="0" fontId="2" fillId="0" borderId="16" xfId="0" applyFont="1" applyFill="1" applyBorder="1"/>
    <xf numFmtId="0" fontId="10" fillId="0" borderId="16" xfId="0" applyFont="1" applyFill="1" applyBorder="1"/>
    <xf numFmtId="3" fontId="10" fillId="0" borderId="16" xfId="0" applyNumberFormat="1" applyFont="1" applyFill="1" applyBorder="1"/>
    <xf numFmtId="0" fontId="2" fillId="0" borderId="17" xfId="0" applyFont="1" applyFill="1" applyBorder="1" applyAlignment="1">
      <alignment horizontal="center"/>
    </xf>
    <xf numFmtId="0" fontId="8" fillId="0" borderId="32" xfId="0" applyFont="1" applyBorder="1"/>
    <xf numFmtId="3" fontId="8" fillId="0" borderId="32" xfId="0" applyNumberFormat="1" applyFont="1" applyBorder="1"/>
    <xf numFmtId="4" fontId="8" fillId="0" borderId="32" xfId="0" applyNumberFormat="1" applyFont="1" applyBorder="1"/>
    <xf numFmtId="0" fontId="12" fillId="0" borderId="24" xfId="0" applyFont="1" applyFill="1" applyBorder="1"/>
    <xf numFmtId="0" fontId="12" fillId="0" borderId="25" xfId="0" applyFont="1" applyFill="1" applyBorder="1"/>
    <xf numFmtId="3" fontId="12" fillId="0" borderId="32" xfId="0" applyNumberFormat="1" applyFont="1" applyFill="1" applyBorder="1"/>
    <xf numFmtId="4" fontId="12" fillId="0" borderId="32" xfId="0" applyNumberFormat="1" applyFont="1" applyFill="1" applyBorder="1"/>
    <xf numFmtId="3" fontId="12" fillId="0" borderId="23" xfId="0" applyNumberFormat="1" applyFont="1" applyFill="1" applyBorder="1"/>
    <xf numFmtId="4" fontId="12" fillId="0" borderId="23" xfId="0" applyNumberFormat="1" applyFont="1" applyFill="1" applyBorder="1"/>
    <xf numFmtId="0" fontId="8" fillId="0" borderId="27" xfId="0" applyFont="1" applyFill="1" applyBorder="1" applyAlignment="1">
      <alignment horizontal="left"/>
    </xf>
    <xf numFmtId="0" fontId="5" fillId="0" borderId="74" xfId="0" applyFont="1" applyFill="1" applyBorder="1" applyAlignment="1">
      <alignment horizontal="center"/>
    </xf>
    <xf numFmtId="3" fontId="5" fillId="0" borderId="14" xfId="0" applyNumberFormat="1" applyFont="1" applyFill="1" applyBorder="1"/>
    <xf numFmtId="4" fontId="5" fillId="0" borderId="14" xfId="0" applyNumberFormat="1" applyFont="1" applyFill="1" applyBorder="1"/>
    <xf numFmtId="3" fontId="5" fillId="0" borderId="17" xfId="0" applyNumberFormat="1" applyFont="1" applyFill="1" applyBorder="1"/>
    <xf numFmtId="4" fontId="5" fillId="0" borderId="17" xfId="0" applyNumberFormat="1" applyFont="1" applyFill="1" applyBorder="1"/>
    <xf numFmtId="3" fontId="11" fillId="0" borderId="38" xfId="0" applyNumberFormat="1" applyFont="1" applyFill="1" applyBorder="1"/>
    <xf numFmtId="4" fontId="11" fillId="0" borderId="38" xfId="0" applyNumberFormat="1" applyFont="1" applyFill="1" applyBorder="1"/>
    <xf numFmtId="3" fontId="11" fillId="0" borderId="19" xfId="0" applyNumberFormat="1" applyFont="1" applyFill="1" applyBorder="1"/>
    <xf numFmtId="4" fontId="11" fillId="0" borderId="19" xfId="0" applyNumberFormat="1" applyFont="1" applyFill="1" applyBorder="1"/>
    <xf numFmtId="0" fontId="12" fillId="0" borderId="12" xfId="0" applyFont="1" applyFill="1" applyBorder="1"/>
    <xf numFmtId="0" fontId="12" fillId="0" borderId="16" xfId="0" applyFont="1" applyFill="1" applyBorder="1"/>
    <xf numFmtId="3" fontId="8" fillId="0" borderId="50" xfId="0" applyNumberFormat="1" applyFont="1" applyFill="1" applyBorder="1"/>
    <xf numFmtId="0" fontId="6" fillId="0" borderId="30" xfId="0" applyFont="1" applyFill="1" applyBorder="1"/>
    <xf numFmtId="0" fontId="6" fillId="0" borderId="17" xfId="0" applyFont="1" applyFill="1" applyBorder="1" applyAlignment="1">
      <alignment horizontal="right"/>
    </xf>
    <xf numFmtId="3" fontId="6" fillId="0" borderId="37" xfId="0" applyNumberFormat="1" applyFont="1" applyFill="1" applyBorder="1" applyAlignment="1">
      <alignment horizontal="right"/>
    </xf>
    <xf numFmtId="4" fontId="6" fillId="0" borderId="17" xfId="0" applyNumberFormat="1" applyFont="1" applyFill="1" applyBorder="1" applyAlignment="1">
      <alignment horizontal="right"/>
    </xf>
    <xf numFmtId="3" fontId="19" fillId="0" borderId="17" xfId="0" applyNumberFormat="1" applyFont="1" applyFill="1" applyBorder="1"/>
    <xf numFmtId="4" fontId="19" fillId="0" borderId="17" xfId="0" applyNumberFormat="1" applyFont="1" applyFill="1" applyBorder="1"/>
    <xf numFmtId="0" fontId="5" fillId="0" borderId="75" xfId="0" applyFont="1" applyFill="1" applyBorder="1"/>
    <xf numFmtId="0" fontId="5" fillId="0" borderId="43" xfId="0" applyFont="1" applyFill="1" applyBorder="1" applyAlignment="1">
      <alignment horizontal="center"/>
    </xf>
    <xf numFmtId="4" fontId="0" fillId="0" borderId="0" xfId="0" applyNumberFormat="1" applyAlignment="1"/>
    <xf numFmtId="3" fontId="6" fillId="0" borderId="26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4" fontId="6" fillId="0" borderId="26" xfId="0" applyNumberFormat="1" applyFont="1" applyFill="1" applyBorder="1" applyAlignment="1">
      <alignment horizontal="right"/>
    </xf>
    <xf numFmtId="49" fontId="2" fillId="0" borderId="20" xfId="0" applyNumberFormat="1" applyFont="1" applyFill="1" applyBorder="1" applyAlignment="1"/>
    <xf numFmtId="3" fontId="25" fillId="0" borderId="23" xfId="0" applyNumberFormat="1" applyFont="1" applyFill="1" applyBorder="1"/>
    <xf numFmtId="3" fontId="25" fillId="0" borderId="25" xfId="0" applyNumberFormat="1" applyFont="1" applyFill="1" applyBorder="1"/>
    <xf numFmtId="49" fontId="6" fillId="0" borderId="30" xfId="0" applyNumberFormat="1" applyFont="1" applyFill="1" applyBorder="1" applyAlignment="1"/>
    <xf numFmtId="49" fontId="2" fillId="0" borderId="12" xfId="0" applyNumberFormat="1" applyFont="1" applyFill="1" applyBorder="1" applyAlignment="1"/>
    <xf numFmtId="0" fontId="8" fillId="0" borderId="25" xfId="0" applyFont="1" applyFill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8" fillId="0" borderId="34" xfId="0" applyFont="1" applyFill="1" applyBorder="1" applyAlignment="1">
      <alignment horizontal="right"/>
    </xf>
    <xf numFmtId="3" fontId="8" fillId="0" borderId="34" xfId="0" applyNumberFormat="1" applyFont="1" applyFill="1" applyBorder="1" applyAlignment="1">
      <alignment horizontal="right"/>
    </xf>
    <xf numFmtId="49" fontId="11" fillId="0" borderId="30" xfId="0" applyNumberFormat="1" applyFont="1" applyFill="1" applyBorder="1" applyAlignment="1"/>
    <xf numFmtId="3" fontId="19" fillId="0" borderId="14" xfId="0" applyNumberFormat="1" applyFont="1" applyFill="1" applyBorder="1" applyAlignment="1">
      <alignment horizontal="right"/>
    </xf>
    <xf numFmtId="49" fontId="2" fillId="0" borderId="18" xfId="0" applyNumberFormat="1" applyFont="1" applyFill="1" applyBorder="1" applyAlignment="1"/>
    <xf numFmtId="49" fontId="2" fillId="0" borderId="19" xfId="0" applyNumberFormat="1" applyFont="1" applyFill="1" applyBorder="1" applyAlignment="1"/>
    <xf numFmtId="0" fontId="8" fillId="0" borderId="22" xfId="0" applyFont="1" applyFill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8" fillId="0" borderId="32" xfId="0" applyFont="1" applyFill="1" applyBorder="1" applyAlignment="1">
      <alignment horizontal="right"/>
    </xf>
    <xf numFmtId="3" fontId="8" fillId="0" borderId="32" xfId="0" applyNumberFormat="1" applyFont="1" applyFill="1" applyBorder="1" applyAlignment="1">
      <alignment horizontal="right"/>
    </xf>
    <xf numFmtId="49" fontId="2" fillId="0" borderId="7" xfId="0" applyNumberFormat="1" applyFont="1" applyFill="1" applyBorder="1" applyAlignment="1"/>
    <xf numFmtId="49" fontId="2" fillId="0" borderId="26" xfId="0" applyNumberFormat="1" applyFont="1" applyFill="1" applyBorder="1" applyAlignment="1"/>
    <xf numFmtId="0" fontId="8" fillId="0" borderId="16" xfId="0" applyFont="1" applyFill="1" applyBorder="1" applyAlignment="1">
      <alignment horizontal="right"/>
    </xf>
    <xf numFmtId="3" fontId="8" fillId="0" borderId="16" xfId="0" applyNumberFormat="1" applyFont="1" applyFill="1" applyBorder="1" applyAlignment="1">
      <alignment horizontal="right"/>
    </xf>
    <xf numFmtId="49" fontId="6" fillId="0" borderId="7" xfId="0" applyNumberFormat="1" applyFont="1" applyFill="1" applyBorder="1" applyAlignment="1"/>
    <xf numFmtId="3" fontId="6" fillId="0" borderId="14" xfId="0" applyNumberFormat="1" applyFont="1" applyFill="1" applyBorder="1" applyAlignment="1">
      <alignment horizontal="left"/>
    </xf>
    <xf numFmtId="0" fontId="6" fillId="0" borderId="14" xfId="0" applyFont="1" applyFill="1" applyBorder="1" applyAlignment="1">
      <alignment horizontal="right"/>
    </xf>
    <xf numFmtId="3" fontId="6" fillId="0" borderId="14" xfId="0" applyNumberFormat="1" applyFont="1" applyFill="1" applyBorder="1" applyAlignment="1">
      <alignment horizontal="right"/>
    </xf>
    <xf numFmtId="0" fontId="10" fillId="0" borderId="21" xfId="0" applyFont="1" applyFill="1" applyBorder="1" applyAlignment="1">
      <alignment horizontal="left"/>
    </xf>
    <xf numFmtId="3" fontId="10" fillId="0" borderId="21" xfId="0" applyNumberFormat="1" applyFont="1" applyFill="1" applyBorder="1" applyAlignment="1">
      <alignment horizontal="left"/>
    </xf>
    <xf numFmtId="0" fontId="6" fillId="0" borderId="21" xfId="0" applyFont="1" applyFill="1" applyBorder="1" applyAlignment="1">
      <alignment horizontal="right"/>
    </xf>
    <xf numFmtId="3" fontId="6" fillId="0" borderId="21" xfId="0" applyNumberFormat="1" applyFont="1" applyFill="1" applyBorder="1" applyAlignment="1">
      <alignment horizontal="right"/>
    </xf>
    <xf numFmtId="0" fontId="10" fillId="0" borderId="23" xfId="0" applyFont="1" applyFill="1" applyBorder="1" applyAlignment="1">
      <alignment horizontal="left"/>
    </xf>
    <xf numFmtId="3" fontId="10" fillId="0" borderId="23" xfId="0" applyNumberFormat="1" applyFont="1" applyFill="1" applyBorder="1" applyAlignment="1">
      <alignment horizontal="left"/>
    </xf>
    <xf numFmtId="0" fontId="6" fillId="0" borderId="23" xfId="0" applyFont="1" applyFill="1" applyBorder="1" applyAlignment="1">
      <alignment horizontal="right"/>
    </xf>
    <xf numFmtId="3" fontId="6" fillId="0" borderId="23" xfId="0" applyNumberFormat="1" applyFont="1" applyFill="1" applyBorder="1" applyAlignment="1">
      <alignment horizontal="right"/>
    </xf>
    <xf numFmtId="3" fontId="26" fillId="0" borderId="23" xfId="0" applyNumberFormat="1" applyFont="1" applyFill="1" applyBorder="1"/>
    <xf numFmtId="3" fontId="27" fillId="0" borderId="23" xfId="0" applyNumberFormat="1" applyFont="1" applyFill="1" applyBorder="1"/>
    <xf numFmtId="4" fontId="27" fillId="0" borderId="23" xfId="0" applyNumberFormat="1" applyFont="1" applyFill="1" applyBorder="1"/>
    <xf numFmtId="0" fontId="10" fillId="0" borderId="24" xfId="0" applyFont="1" applyFill="1" applyBorder="1" applyAlignment="1">
      <alignment horizontal="left"/>
    </xf>
    <xf numFmtId="3" fontId="10" fillId="0" borderId="24" xfId="0" applyNumberFormat="1" applyFont="1" applyFill="1" applyBorder="1" applyAlignment="1">
      <alignment horizontal="left"/>
    </xf>
    <xf numFmtId="0" fontId="6" fillId="0" borderId="24" xfId="0" applyFont="1" applyFill="1" applyBorder="1" applyAlignment="1">
      <alignment horizontal="right"/>
    </xf>
    <xf numFmtId="3" fontId="6" fillId="0" borderId="24" xfId="0" applyNumberFormat="1" applyFont="1" applyFill="1" applyBorder="1" applyAlignment="1">
      <alignment horizontal="right"/>
    </xf>
    <xf numFmtId="3" fontId="6" fillId="0" borderId="24" xfId="0" applyNumberFormat="1" applyFont="1" applyFill="1" applyBorder="1"/>
    <xf numFmtId="3" fontId="9" fillId="0" borderId="24" xfId="0" applyNumberFormat="1" applyFont="1" applyFill="1" applyBorder="1"/>
    <xf numFmtId="0" fontId="8" fillId="0" borderId="28" xfId="0" applyFont="1" applyFill="1" applyBorder="1" applyAlignment="1">
      <alignment horizontal="right"/>
    </xf>
    <xf numFmtId="3" fontId="8" fillId="0" borderId="28" xfId="0" applyNumberFormat="1" applyFont="1" applyFill="1" applyBorder="1" applyAlignment="1">
      <alignment horizontal="right"/>
    </xf>
    <xf numFmtId="3" fontId="28" fillId="0" borderId="22" xfId="0" applyNumberFormat="1" applyFont="1" applyFill="1" applyBorder="1"/>
    <xf numFmtId="4" fontId="28" fillId="0" borderId="22" xfId="0" applyNumberFormat="1" applyFont="1" applyFill="1" applyBorder="1"/>
    <xf numFmtId="4" fontId="28" fillId="0" borderId="21" xfId="0" applyNumberFormat="1" applyFont="1" applyFill="1" applyBorder="1"/>
    <xf numFmtId="3" fontId="28" fillId="0" borderId="16" xfId="0" applyNumberFormat="1" applyFont="1" applyFill="1" applyBorder="1"/>
    <xf numFmtId="3" fontId="28" fillId="0" borderId="25" xfId="0" applyNumberFormat="1" applyFont="1" applyFill="1" applyBorder="1"/>
    <xf numFmtId="4" fontId="28" fillId="0" borderId="25" xfId="0" applyNumberFormat="1" applyFont="1" applyFill="1" applyBorder="1"/>
    <xf numFmtId="3" fontId="28" fillId="0" borderId="24" xfId="0" applyNumberFormat="1" applyFont="1" applyFill="1" applyBorder="1"/>
    <xf numFmtId="4" fontId="28" fillId="0" borderId="24" xfId="0" applyNumberFormat="1" applyFont="1" applyFill="1" applyBorder="1"/>
    <xf numFmtId="0" fontId="8" fillId="0" borderId="66" xfId="0" applyFont="1" applyFill="1" applyBorder="1"/>
    <xf numFmtId="3" fontId="8" fillId="0" borderId="77" xfId="0" applyNumberFormat="1" applyFont="1" applyFill="1" applyBorder="1"/>
    <xf numFmtId="0" fontId="8" fillId="0" borderId="77" xfId="0" applyFont="1" applyFill="1" applyBorder="1"/>
    <xf numFmtId="0" fontId="8" fillId="0" borderId="77" xfId="0" applyFont="1" applyFill="1" applyBorder="1" applyAlignment="1">
      <alignment horizontal="right"/>
    </xf>
    <xf numFmtId="3" fontId="8" fillId="0" borderId="77" xfId="0" applyNumberFormat="1" applyFont="1" applyFill="1" applyBorder="1" applyAlignment="1">
      <alignment horizontal="right"/>
    </xf>
    <xf numFmtId="3" fontId="8" fillId="0" borderId="61" xfId="0" applyNumberFormat="1" applyFont="1" applyFill="1" applyBorder="1"/>
    <xf numFmtId="0" fontId="8" fillId="0" borderId="61" xfId="0" applyFont="1" applyFill="1" applyBorder="1"/>
    <xf numFmtId="0" fontId="8" fillId="0" borderId="61" xfId="0" applyFont="1" applyFill="1" applyBorder="1" applyAlignment="1">
      <alignment horizontal="right"/>
    </xf>
    <xf numFmtId="0" fontId="12" fillId="0" borderId="51" xfId="0" applyFont="1" applyFill="1" applyBorder="1"/>
    <xf numFmtId="3" fontId="12" fillId="0" borderId="63" xfId="0" applyNumberFormat="1" applyFont="1" applyFill="1" applyBorder="1"/>
    <xf numFmtId="0" fontId="12" fillId="0" borderId="63" xfId="0" applyFont="1" applyFill="1" applyBorder="1"/>
    <xf numFmtId="0" fontId="12" fillId="0" borderId="63" xfId="0" applyFont="1" applyFill="1" applyBorder="1" applyAlignment="1">
      <alignment horizontal="right"/>
    </xf>
    <xf numFmtId="3" fontId="12" fillId="0" borderId="63" xfId="0" applyNumberFormat="1" applyFont="1" applyFill="1" applyBorder="1" applyAlignment="1">
      <alignment horizontal="right"/>
    </xf>
    <xf numFmtId="3" fontId="8" fillId="0" borderId="63" xfId="0" applyNumberFormat="1" applyFont="1" applyFill="1" applyBorder="1"/>
    <xf numFmtId="0" fontId="8" fillId="0" borderId="63" xfId="0" applyFont="1" applyFill="1" applyBorder="1"/>
    <xf numFmtId="0" fontId="8" fillId="0" borderId="63" xfId="0" applyFont="1" applyFill="1" applyBorder="1" applyAlignment="1">
      <alignment horizontal="right"/>
    </xf>
    <xf numFmtId="3" fontId="6" fillId="0" borderId="34" xfId="0" applyNumberFormat="1" applyFont="1" applyFill="1" applyBorder="1"/>
    <xf numFmtId="0" fontId="6" fillId="0" borderId="34" xfId="0" applyFont="1" applyFill="1" applyBorder="1"/>
    <xf numFmtId="0" fontId="6" fillId="0" borderId="34" xfId="0" applyFont="1" applyFill="1" applyBorder="1" applyAlignment="1">
      <alignment horizontal="right"/>
    </xf>
    <xf numFmtId="3" fontId="6" fillId="0" borderId="34" xfId="0" applyNumberFormat="1" applyFont="1" applyFill="1" applyBorder="1" applyAlignment="1">
      <alignment horizontal="right"/>
    </xf>
    <xf numFmtId="4" fontId="6" fillId="0" borderId="34" xfId="0" applyNumberFormat="1" applyFont="1" applyFill="1" applyBorder="1"/>
    <xf numFmtId="0" fontId="29" fillId="0" borderId="0" xfId="0" applyFont="1"/>
    <xf numFmtId="4" fontId="29" fillId="0" borderId="0" xfId="0" applyNumberFormat="1" applyFont="1"/>
    <xf numFmtId="3" fontId="6" fillId="0" borderId="60" xfId="0" applyNumberFormat="1" applyFont="1" applyFill="1" applyBorder="1" applyAlignment="1">
      <alignment horizontal="left"/>
    </xf>
    <xf numFmtId="0" fontId="6" fillId="0" borderId="60" xfId="0" applyFont="1" applyFill="1" applyBorder="1" applyAlignment="1">
      <alignment horizontal="right"/>
    </xf>
    <xf numFmtId="3" fontId="6" fillId="0" borderId="60" xfId="0" applyNumberFormat="1" applyFont="1" applyFill="1" applyBorder="1" applyAlignment="1">
      <alignment horizontal="right"/>
    </xf>
    <xf numFmtId="3" fontId="10" fillId="0" borderId="22" xfId="0" applyNumberFormat="1" applyFont="1" applyFill="1" applyBorder="1" applyAlignment="1">
      <alignment horizontal="left"/>
    </xf>
    <xf numFmtId="0" fontId="10" fillId="0" borderId="22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right"/>
    </xf>
    <xf numFmtId="3" fontId="10" fillId="0" borderId="22" xfId="0" applyNumberFormat="1" applyFont="1" applyFill="1" applyBorder="1" applyAlignment="1">
      <alignment horizontal="right"/>
    </xf>
    <xf numFmtId="3" fontId="10" fillId="0" borderId="32" xfId="0" applyNumberFormat="1" applyFont="1" applyFill="1" applyBorder="1" applyAlignment="1">
      <alignment horizontal="left"/>
    </xf>
    <xf numFmtId="0" fontId="10" fillId="0" borderId="32" xfId="0" applyFont="1" applyFill="1" applyBorder="1" applyAlignment="1">
      <alignment horizontal="left"/>
    </xf>
    <xf numFmtId="0" fontId="10" fillId="0" borderId="32" xfId="0" applyFont="1" applyFill="1" applyBorder="1" applyAlignment="1">
      <alignment horizontal="right"/>
    </xf>
    <xf numFmtId="3" fontId="10" fillId="0" borderId="32" xfId="0" applyNumberFormat="1" applyFont="1" applyFill="1" applyBorder="1" applyAlignment="1">
      <alignment horizontal="right"/>
    </xf>
    <xf numFmtId="4" fontId="10" fillId="0" borderId="27" xfId="0" applyNumberFormat="1" applyFont="1" applyFill="1" applyBorder="1"/>
    <xf numFmtId="0" fontId="8" fillId="0" borderId="8" xfId="0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4" fontId="6" fillId="0" borderId="8" xfId="0" applyNumberFormat="1" applyFont="1" applyFill="1" applyBorder="1"/>
    <xf numFmtId="0" fontId="19" fillId="0" borderId="30" xfId="0" applyFont="1" applyFill="1" applyBorder="1"/>
    <xf numFmtId="49" fontId="6" fillId="0" borderId="17" xfId="0" applyNumberFormat="1" applyFont="1" applyFill="1" applyBorder="1" applyAlignment="1">
      <alignment horizontal="right"/>
    </xf>
    <xf numFmtId="0" fontId="12" fillId="0" borderId="13" xfId="0" applyFont="1" applyFill="1" applyBorder="1"/>
    <xf numFmtId="0" fontId="12" fillId="0" borderId="17" xfId="0" applyFont="1" applyFill="1" applyBorder="1"/>
    <xf numFmtId="0" fontId="12" fillId="0" borderId="0" xfId="0" applyFont="1" applyFill="1" applyBorder="1"/>
    <xf numFmtId="3" fontId="12" fillId="0" borderId="14" xfId="0" applyNumberFormat="1" applyFont="1" applyFill="1" applyBorder="1"/>
    <xf numFmtId="0" fontId="12" fillId="0" borderId="37" xfId="0" applyFont="1" applyFill="1" applyBorder="1"/>
    <xf numFmtId="4" fontId="12" fillId="0" borderId="17" xfId="0" applyNumberFormat="1" applyFont="1" applyFill="1" applyBorder="1"/>
    <xf numFmtId="0" fontId="12" fillId="0" borderId="19" xfId="0" applyFont="1" applyFill="1" applyBorder="1"/>
    <xf numFmtId="49" fontId="2" fillId="0" borderId="30" xfId="0" applyNumberFormat="1" applyFont="1" applyFill="1" applyBorder="1" applyAlignment="1"/>
    <xf numFmtId="49" fontId="2" fillId="0" borderId="17" xfId="0" applyNumberFormat="1" applyFont="1" applyFill="1" applyBorder="1" applyAlignment="1">
      <alignment horizontal="left"/>
    </xf>
    <xf numFmtId="1" fontId="9" fillId="0" borderId="17" xfId="0" applyNumberFormat="1" applyFont="1" applyFill="1" applyBorder="1"/>
    <xf numFmtId="0" fontId="2" fillId="0" borderId="21" xfId="0" applyFont="1" applyFill="1" applyBorder="1" applyAlignment="1"/>
    <xf numFmtId="0" fontId="2" fillId="0" borderId="27" xfId="0" applyFont="1" applyFill="1" applyBorder="1" applyAlignment="1"/>
    <xf numFmtId="0" fontId="8" fillId="0" borderId="22" xfId="0" applyFont="1" applyFill="1" applyBorder="1" applyAlignment="1"/>
    <xf numFmtId="3" fontId="8" fillId="0" borderId="22" xfId="0" applyNumberFormat="1" applyFont="1" applyFill="1" applyBorder="1" applyAlignment="1"/>
    <xf numFmtId="4" fontId="8" fillId="0" borderId="21" xfId="0" applyNumberFormat="1" applyFont="1" applyFill="1" applyBorder="1" applyAlignment="1">
      <alignment horizontal="right"/>
    </xf>
    <xf numFmtId="0" fontId="2" fillId="0" borderId="23" xfId="0" applyFont="1" applyFill="1" applyBorder="1" applyAlignment="1"/>
    <xf numFmtId="0" fontId="8" fillId="0" borderId="32" xfId="0" applyFont="1" applyFill="1" applyBorder="1" applyAlignment="1"/>
    <xf numFmtId="3" fontId="8" fillId="0" borderId="32" xfId="0" applyNumberFormat="1" applyFont="1" applyFill="1" applyBorder="1" applyAlignment="1"/>
    <xf numFmtId="3" fontId="8" fillId="0" borderId="23" xfId="0" applyNumberFormat="1" applyFont="1" applyFill="1" applyBorder="1" applyAlignment="1">
      <alignment horizontal="right"/>
    </xf>
    <xf numFmtId="0" fontId="2" fillId="0" borderId="24" xfId="0" applyFont="1" applyFill="1" applyBorder="1" applyAlignment="1"/>
    <xf numFmtId="0" fontId="8" fillId="0" borderId="25" xfId="0" applyFont="1" applyFill="1" applyBorder="1" applyAlignment="1"/>
    <xf numFmtId="3" fontId="2" fillId="0" borderId="42" xfId="0" applyNumberFormat="1" applyFont="1" applyFill="1" applyBorder="1"/>
    <xf numFmtId="4" fontId="2" fillId="0" borderId="42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16" fontId="2" fillId="0" borderId="0" xfId="0" applyNumberFormat="1" applyFont="1" applyFill="1" applyBorder="1" applyAlignment="1">
      <alignment horizontal="left"/>
    </xf>
    <xf numFmtId="49" fontId="2" fillId="0" borderId="7" xfId="0" applyNumberFormat="1" applyFont="1" applyFill="1" applyBorder="1"/>
    <xf numFmtId="3" fontId="0" fillId="0" borderId="26" xfId="0" applyNumberFormat="1" applyFill="1" applyBorder="1"/>
    <xf numFmtId="4" fontId="0" fillId="0" borderId="26" xfId="0" applyNumberFormat="1" applyFill="1" applyBorder="1"/>
    <xf numFmtId="4" fontId="0" fillId="0" borderId="10" xfId="0" applyNumberFormat="1" applyFill="1" applyBorder="1"/>
    <xf numFmtId="3" fontId="0" fillId="0" borderId="10" xfId="0" applyNumberFormat="1" applyFill="1" applyBorder="1"/>
    <xf numFmtId="4" fontId="0" fillId="0" borderId="9" xfId="0" applyNumberFormat="1" applyFill="1" applyBorder="1"/>
    <xf numFmtId="0" fontId="0" fillId="0" borderId="21" xfId="0" applyFill="1" applyBorder="1"/>
    <xf numFmtId="3" fontId="0" fillId="0" borderId="21" xfId="0" applyNumberFormat="1" applyFill="1" applyBorder="1"/>
    <xf numFmtId="3" fontId="12" fillId="0" borderId="21" xfId="0" applyNumberFormat="1" applyFont="1" applyFill="1" applyBorder="1" applyAlignment="1">
      <alignment horizontal="right"/>
    </xf>
    <xf numFmtId="4" fontId="12" fillId="0" borderId="21" xfId="0" applyNumberFormat="1" applyFont="1" applyFill="1" applyBorder="1" applyAlignment="1">
      <alignment horizontal="right"/>
    </xf>
    <xf numFmtId="4" fontId="12" fillId="0" borderId="22" xfId="0" applyNumberFormat="1" applyFont="1" applyFill="1" applyBorder="1" applyAlignment="1">
      <alignment horizontal="right"/>
    </xf>
    <xf numFmtId="3" fontId="12" fillId="0" borderId="22" xfId="0" applyNumberFormat="1" applyFont="1" applyFill="1" applyBorder="1" applyAlignment="1">
      <alignment horizontal="right"/>
    </xf>
    <xf numFmtId="3" fontId="12" fillId="0" borderId="21" xfId="0" applyNumberFormat="1" applyFont="1" applyFill="1" applyBorder="1"/>
    <xf numFmtId="4" fontId="12" fillId="0" borderId="52" xfId="0" applyNumberFormat="1" applyFont="1" applyFill="1" applyBorder="1"/>
    <xf numFmtId="0" fontId="0" fillId="0" borderId="23" xfId="0" applyFill="1" applyBorder="1"/>
    <xf numFmtId="0" fontId="12" fillId="0" borderId="23" xfId="0" applyFont="1" applyFill="1" applyBorder="1"/>
    <xf numFmtId="3" fontId="12" fillId="0" borderId="24" xfId="0" applyNumberFormat="1" applyFont="1" applyFill="1" applyBorder="1" applyAlignment="1">
      <alignment horizontal="right"/>
    </xf>
    <xf numFmtId="4" fontId="12" fillId="0" borderId="24" xfId="0" applyNumberFormat="1" applyFont="1" applyFill="1" applyBorder="1" applyAlignment="1">
      <alignment horizontal="right"/>
    </xf>
    <xf numFmtId="4" fontId="12" fillId="0" borderId="25" xfId="0" applyNumberFormat="1" applyFont="1" applyFill="1" applyBorder="1" applyAlignment="1">
      <alignment horizontal="right"/>
    </xf>
    <xf numFmtId="3" fontId="12" fillId="0" borderId="25" xfId="0" applyNumberFormat="1" applyFont="1" applyFill="1" applyBorder="1" applyAlignment="1">
      <alignment horizontal="right"/>
    </xf>
    <xf numFmtId="4" fontId="12" fillId="0" borderId="51" xfId="0" applyNumberFormat="1" applyFont="1" applyFill="1" applyBorder="1"/>
    <xf numFmtId="0" fontId="0" fillId="0" borderId="24" xfId="0" applyFill="1" applyBorder="1"/>
    <xf numFmtId="4" fontId="12" fillId="0" borderId="51" xfId="0" applyNumberFormat="1" applyFont="1" applyFill="1" applyBorder="1" applyAlignment="1">
      <alignment horizontal="right"/>
    </xf>
    <xf numFmtId="0" fontId="30" fillId="0" borderId="24" xfId="0" applyFont="1" applyFill="1" applyBorder="1"/>
    <xf numFmtId="0" fontId="0" fillId="0" borderId="24" xfId="0" applyFont="1" applyFill="1" applyBorder="1"/>
    <xf numFmtId="0" fontId="7" fillId="0" borderId="24" xfId="0" applyFont="1" applyFill="1" applyBorder="1"/>
    <xf numFmtId="3" fontId="7" fillId="0" borderId="24" xfId="0" applyNumberFormat="1" applyFont="1" applyFill="1" applyBorder="1"/>
    <xf numFmtId="3" fontId="0" fillId="0" borderId="24" xfId="0" applyNumberFormat="1" applyFill="1" applyBorder="1"/>
    <xf numFmtId="4" fontId="0" fillId="0" borderId="24" xfId="0" applyNumberFormat="1" applyFill="1" applyBorder="1"/>
    <xf numFmtId="4" fontId="0" fillId="0" borderId="25" xfId="0" applyNumberFormat="1" applyFill="1" applyBorder="1"/>
    <xf numFmtId="3" fontId="0" fillId="0" borderId="25" xfId="0" applyNumberFormat="1" applyFill="1" applyBorder="1"/>
    <xf numFmtId="4" fontId="0" fillId="0" borderId="51" xfId="0" applyNumberFormat="1" applyFill="1" applyBorder="1"/>
    <xf numFmtId="0" fontId="0" fillId="0" borderId="29" xfId="0" applyFill="1" applyBorder="1"/>
    <xf numFmtId="3" fontId="0" fillId="0" borderId="29" xfId="0" applyNumberFormat="1" applyFill="1" applyBorder="1"/>
    <xf numFmtId="4" fontId="0" fillId="0" borderId="29" xfId="0" applyNumberFormat="1" applyFill="1" applyBorder="1"/>
    <xf numFmtId="4" fontId="0" fillId="0" borderId="34" xfId="0" applyNumberFormat="1" applyFill="1" applyBorder="1"/>
    <xf numFmtId="3" fontId="0" fillId="0" borderId="34" xfId="0" applyNumberFormat="1" applyFill="1" applyBorder="1"/>
    <xf numFmtId="4" fontId="0" fillId="0" borderId="62" xfId="0" applyNumberFormat="1" applyFill="1" applyBorder="1"/>
    <xf numFmtId="4" fontId="2" fillId="0" borderId="43" xfId="0" applyNumberFormat="1" applyFont="1" applyFill="1" applyBorder="1"/>
    <xf numFmtId="3" fontId="2" fillId="0" borderId="40" xfId="0" applyNumberFormat="1" applyFont="1" applyFill="1" applyBorder="1"/>
    <xf numFmtId="4" fontId="2" fillId="0" borderId="41" xfId="0" applyNumberFormat="1" applyFont="1" applyFill="1" applyBorder="1"/>
    <xf numFmtId="3" fontId="0" fillId="0" borderId="79" xfId="0" applyNumberFormat="1" applyFill="1" applyBorder="1"/>
    <xf numFmtId="4" fontId="0" fillId="0" borderId="79" xfId="0" applyNumberFormat="1" applyFill="1" applyBorder="1"/>
    <xf numFmtId="3" fontId="19" fillId="0" borderId="80" xfId="0" applyNumberFormat="1" applyFont="1" applyFill="1" applyBorder="1" applyAlignment="1">
      <alignment vertical="center"/>
    </xf>
    <xf numFmtId="4" fontId="19" fillId="0" borderId="80" xfId="0" applyNumberFormat="1" applyFont="1" applyFill="1" applyBorder="1" applyAlignment="1">
      <alignment vertical="center"/>
    </xf>
    <xf numFmtId="3" fontId="19" fillId="0" borderId="80" xfId="0" applyNumberFormat="1" applyFont="1" applyFill="1" applyBorder="1"/>
    <xf numFmtId="4" fontId="19" fillId="0" borderId="80" xfId="0" applyNumberFormat="1" applyFont="1" applyFill="1" applyBorder="1"/>
    <xf numFmtId="0" fontId="4" fillId="2" borderId="80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horizontal="center" vertical="center" wrapText="1"/>
    </xf>
    <xf numFmtId="0" fontId="8" fillId="0" borderId="82" xfId="0" applyFont="1" applyFill="1" applyBorder="1"/>
    <xf numFmtId="0" fontId="5" fillId="2" borderId="70" xfId="0" applyFont="1" applyFill="1" applyBorder="1" applyAlignment="1">
      <alignment horizontal="left"/>
    </xf>
    <xf numFmtId="3" fontId="5" fillId="2" borderId="42" xfId="0" applyNumberFormat="1" applyFont="1" applyFill="1" applyBorder="1"/>
    <xf numFmtId="3" fontId="5" fillId="2" borderId="71" xfId="0" applyNumberFormat="1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7" fillId="0" borderId="0" xfId="0" applyFont="1"/>
    <xf numFmtId="3" fontId="5" fillId="0" borderId="48" xfId="0" applyNumberFormat="1" applyFont="1" applyFill="1" applyBorder="1"/>
    <xf numFmtId="3" fontId="7" fillId="0" borderId="0" xfId="0" applyNumberFormat="1" applyFont="1"/>
    <xf numFmtId="3" fontId="19" fillId="0" borderId="85" xfId="0" applyNumberFormat="1" applyFont="1" applyBorder="1"/>
    <xf numFmtId="0" fontId="0" fillId="0" borderId="0" xfId="0" applyFont="1"/>
    <xf numFmtId="3" fontId="7" fillId="0" borderId="17" xfId="0" applyNumberFormat="1" applyFont="1" applyBorder="1"/>
    <xf numFmtId="3" fontId="0" fillId="0" borderId="85" xfId="0" applyNumberFormat="1" applyFont="1" applyBorder="1"/>
    <xf numFmtId="3" fontId="7" fillId="0" borderId="23" xfId="0" applyNumberFormat="1" applyFont="1" applyBorder="1"/>
    <xf numFmtId="3" fontId="7" fillId="0" borderId="49" xfId="0" applyNumberFormat="1" applyFont="1" applyBorder="1"/>
    <xf numFmtId="3" fontId="7" fillId="0" borderId="24" xfId="0" applyNumberFormat="1" applyFont="1" applyBorder="1"/>
    <xf numFmtId="3" fontId="7" fillId="0" borderId="50" xfId="0" applyNumberFormat="1" applyFont="1" applyBorder="1"/>
    <xf numFmtId="3" fontId="7" fillId="0" borderId="29" xfId="0" applyNumberFormat="1" applyFont="1" applyBorder="1"/>
    <xf numFmtId="3" fontId="7" fillId="0" borderId="86" xfId="0" applyNumberFormat="1" applyFont="1" applyBorder="1"/>
    <xf numFmtId="3" fontId="11" fillId="0" borderId="85" xfId="0" applyNumberFormat="1" applyFont="1" applyFill="1" applyBorder="1"/>
    <xf numFmtId="3" fontId="2" fillId="0" borderId="87" xfId="0" applyNumberFormat="1" applyFont="1" applyFill="1" applyBorder="1"/>
    <xf numFmtId="3" fontId="9" fillId="0" borderId="85" xfId="0" applyNumberFormat="1" applyFont="1" applyFill="1" applyBorder="1"/>
    <xf numFmtId="3" fontId="5" fillId="0" borderId="88" xfId="0" applyNumberFormat="1" applyFont="1" applyFill="1" applyBorder="1"/>
    <xf numFmtId="3" fontId="6" fillId="0" borderId="88" xfId="0" applyNumberFormat="1" applyFont="1" applyFill="1" applyBorder="1"/>
    <xf numFmtId="4" fontId="7" fillId="0" borderId="49" xfId="0" applyNumberFormat="1" applyFont="1" applyBorder="1"/>
    <xf numFmtId="4" fontId="7" fillId="0" borderId="50" xfId="0" applyNumberFormat="1" applyFont="1" applyBorder="1"/>
    <xf numFmtId="3" fontId="2" fillId="0" borderId="85" xfId="0" applyNumberFormat="1" applyFont="1" applyFill="1" applyBorder="1"/>
    <xf numFmtId="3" fontId="8" fillId="0" borderId="86" xfId="0" applyNumberFormat="1" applyFont="1" applyFill="1" applyBorder="1"/>
    <xf numFmtId="3" fontId="6" fillId="0" borderId="85" xfId="0" applyNumberFormat="1" applyFont="1" applyFill="1" applyBorder="1"/>
    <xf numFmtId="3" fontId="8" fillId="0" borderId="89" xfId="0" applyNumberFormat="1" applyFont="1" applyFill="1" applyBorder="1"/>
    <xf numFmtId="3" fontId="7" fillId="0" borderId="89" xfId="0" applyNumberFormat="1" applyFont="1" applyBorder="1"/>
    <xf numFmtId="4" fontId="7" fillId="0" borderId="85" xfId="0" applyNumberFormat="1" applyFont="1" applyBorder="1"/>
    <xf numFmtId="3" fontId="11" fillId="0" borderId="87" xfId="0" applyNumberFormat="1" applyFont="1" applyFill="1" applyBorder="1"/>
    <xf numFmtId="3" fontId="10" fillId="0" borderId="50" xfId="0" applyNumberFormat="1" applyFont="1" applyFill="1" applyBorder="1"/>
    <xf numFmtId="4" fontId="7" fillId="0" borderId="90" xfId="0" applyNumberFormat="1" applyFont="1" applyBorder="1"/>
    <xf numFmtId="3" fontId="13" fillId="0" borderId="85" xfId="0" applyNumberFormat="1" applyFont="1" applyFill="1" applyBorder="1"/>
    <xf numFmtId="4" fontId="7" fillId="0" borderId="86" xfId="0" applyNumberFormat="1" applyFont="1" applyBorder="1"/>
    <xf numFmtId="4" fontId="7" fillId="0" borderId="88" xfId="0" applyNumberFormat="1" applyFont="1" applyBorder="1"/>
    <xf numFmtId="3" fontId="14" fillId="0" borderId="42" xfId="0" applyNumberFormat="1" applyFont="1" applyBorder="1"/>
    <xf numFmtId="3" fontId="14" fillId="0" borderId="71" xfId="0" applyNumberFormat="1" applyFont="1" applyBorder="1"/>
    <xf numFmtId="3" fontId="6" fillId="0" borderId="10" xfId="0" applyNumberFormat="1" applyFont="1" applyFill="1" applyBorder="1" applyAlignment="1">
      <alignment vertical="center"/>
    </xf>
    <xf numFmtId="3" fontId="6" fillId="0" borderId="48" xfId="0" applyNumberFormat="1" applyFont="1" applyFill="1" applyBorder="1" applyAlignment="1">
      <alignment vertical="center"/>
    </xf>
    <xf numFmtId="3" fontId="0" fillId="0" borderId="23" xfId="0" applyNumberFormat="1" applyFont="1" applyBorder="1"/>
    <xf numFmtId="3" fontId="0" fillId="0" borderId="49" xfId="0" applyNumberFormat="1" applyFont="1" applyBorder="1"/>
    <xf numFmtId="3" fontId="0" fillId="0" borderId="24" xfId="0" applyNumberFormat="1" applyFont="1" applyBorder="1"/>
    <xf numFmtId="3" fontId="0" fillId="0" borderId="50" xfId="0" applyNumberFormat="1" applyFont="1" applyBorder="1"/>
    <xf numFmtId="4" fontId="0" fillId="0" borderId="24" xfId="0" applyNumberFormat="1" applyFont="1" applyBorder="1"/>
    <xf numFmtId="4" fontId="0" fillId="0" borderId="50" xfId="0" applyNumberFormat="1" applyFont="1" applyBorder="1"/>
    <xf numFmtId="4" fontId="0" fillId="0" borderId="86" xfId="0" applyNumberFormat="1" applyFont="1" applyBorder="1"/>
    <xf numFmtId="3" fontId="4" fillId="0" borderId="85" xfId="0" applyNumberFormat="1" applyFont="1" applyBorder="1"/>
    <xf numFmtId="3" fontId="0" fillId="0" borderId="86" xfId="0" applyNumberFormat="1" applyFont="1" applyBorder="1"/>
    <xf numFmtId="3" fontId="19" fillId="0" borderId="17" xfId="0" applyNumberFormat="1" applyFont="1" applyBorder="1"/>
    <xf numFmtId="3" fontId="0" fillId="0" borderId="12" xfId="0" applyNumberFormat="1" applyFont="1" applyBorder="1"/>
    <xf numFmtId="3" fontId="0" fillId="0" borderId="89" xfId="0" applyNumberFormat="1" applyFont="1" applyBorder="1"/>
    <xf numFmtId="3" fontId="0" fillId="0" borderId="17" xfId="0" applyNumberFormat="1" applyFont="1" applyBorder="1"/>
    <xf numFmtId="3" fontId="0" fillId="0" borderId="29" xfId="0" applyNumberFormat="1" applyFont="1" applyBorder="1"/>
    <xf numFmtId="3" fontId="0" fillId="0" borderId="21" xfId="0" applyNumberFormat="1" applyFont="1" applyBorder="1"/>
    <xf numFmtId="3" fontId="0" fillId="0" borderId="91" xfId="0" applyNumberFormat="1" applyFont="1" applyBorder="1"/>
    <xf numFmtId="3" fontId="0" fillId="0" borderId="27" xfId="0" applyNumberFormat="1" applyFont="1" applyBorder="1"/>
    <xf numFmtId="3" fontId="0" fillId="0" borderId="90" xfId="0" applyNumberFormat="1" applyFont="1" applyBorder="1"/>
    <xf numFmtId="3" fontId="0" fillId="0" borderId="26" xfId="0" applyNumberFormat="1" applyFont="1" applyBorder="1"/>
    <xf numFmtId="3" fontId="0" fillId="0" borderId="87" xfId="0" applyNumberFormat="1" applyFont="1" applyBorder="1"/>
    <xf numFmtId="4" fontId="0" fillId="0" borderId="23" xfId="0" applyNumberFormat="1" applyFont="1" applyBorder="1"/>
    <xf numFmtId="4" fontId="0" fillId="0" borderId="49" xfId="0" applyNumberFormat="1" applyFont="1" applyBorder="1"/>
    <xf numFmtId="4" fontId="0" fillId="0" borderId="17" xfId="0" applyNumberFormat="1" applyFont="1" applyBorder="1"/>
    <xf numFmtId="4" fontId="0" fillId="0" borderId="85" xfId="0" applyNumberFormat="1" applyFont="1" applyBorder="1"/>
    <xf numFmtId="4" fontId="0" fillId="0" borderId="12" xfId="0" applyNumberFormat="1" applyFont="1" applyBorder="1"/>
    <xf numFmtId="4" fontId="0" fillId="0" borderId="89" xfId="0" applyNumberFormat="1" applyFont="1" applyBorder="1"/>
    <xf numFmtId="3" fontId="12" fillId="0" borderId="21" xfId="0" applyNumberFormat="1" applyFont="1" applyBorder="1"/>
    <xf numFmtId="3" fontId="12" fillId="0" borderId="91" xfId="0" applyNumberFormat="1" applyFont="1" applyBorder="1"/>
    <xf numFmtId="3" fontId="4" fillId="0" borderId="17" xfId="0" applyNumberFormat="1" applyFont="1" applyBorder="1"/>
    <xf numFmtId="3" fontId="19" fillId="0" borderId="17" xfId="0" applyNumberFormat="1" applyFont="1" applyBorder="1" applyAlignment="1">
      <alignment vertical="center"/>
    </xf>
    <xf numFmtId="3" fontId="19" fillId="0" borderId="85" xfId="0" applyNumberFormat="1" applyFont="1" applyBorder="1" applyAlignment="1">
      <alignment vertical="center"/>
    </xf>
    <xf numFmtId="4" fontId="0" fillId="0" borderId="27" xfId="0" applyNumberFormat="1" applyFont="1" applyBorder="1"/>
    <xf numFmtId="4" fontId="0" fillId="0" borderId="90" xfId="0" applyNumberFormat="1" applyFont="1" applyBorder="1"/>
    <xf numFmtId="3" fontId="0" fillId="0" borderId="0" xfId="0" applyNumberFormat="1" applyFont="1"/>
    <xf numFmtId="3" fontId="5" fillId="0" borderId="87" xfId="0" applyNumberFormat="1" applyFont="1" applyFill="1" applyBorder="1" applyAlignment="1">
      <alignment horizontal="right"/>
    </xf>
    <xf numFmtId="3" fontId="12" fillId="0" borderId="49" xfId="0" applyNumberFormat="1" applyFont="1" applyFill="1" applyBorder="1"/>
    <xf numFmtId="3" fontId="5" fillId="0" borderId="85" xfId="0" applyNumberFormat="1" applyFont="1" applyFill="1" applyBorder="1"/>
    <xf numFmtId="3" fontId="11" fillId="0" borderId="88" xfId="0" applyNumberFormat="1" applyFont="1" applyFill="1" applyBorder="1"/>
    <xf numFmtId="4" fontId="8" fillId="0" borderId="50" xfId="0" applyNumberFormat="1" applyFont="1" applyFill="1" applyBorder="1"/>
    <xf numFmtId="3" fontId="19" fillId="0" borderId="85" xfId="0" applyNumberFormat="1" applyFont="1" applyFill="1" applyBorder="1"/>
    <xf numFmtId="4" fontId="2" fillId="0" borderId="85" xfId="0" applyNumberFormat="1" applyFont="1" applyFill="1" applyBorder="1"/>
    <xf numFmtId="4" fontId="8" fillId="0" borderId="49" xfId="0" applyNumberFormat="1" applyFont="1" applyFill="1" applyBorder="1"/>
    <xf numFmtId="3" fontId="5" fillId="0" borderId="71" xfId="0" applyNumberFormat="1" applyFont="1" applyFill="1" applyBorder="1"/>
    <xf numFmtId="0" fontId="6" fillId="0" borderId="87" xfId="0" applyFont="1" applyFill="1" applyBorder="1" applyAlignment="1">
      <alignment horizontal="right"/>
    </xf>
    <xf numFmtId="3" fontId="8" fillId="0" borderId="91" xfId="0" applyNumberFormat="1" applyFont="1" applyFill="1" applyBorder="1"/>
    <xf numFmtId="3" fontId="26" fillId="0" borderId="21" xfId="0" applyNumberFormat="1" applyFont="1" applyFill="1" applyBorder="1"/>
    <xf numFmtId="3" fontId="26" fillId="0" borderId="91" xfId="0" applyNumberFormat="1" applyFont="1" applyFill="1" applyBorder="1"/>
    <xf numFmtId="3" fontId="26" fillId="0" borderId="49" xfId="0" applyNumberFormat="1" applyFont="1" applyFill="1" applyBorder="1"/>
    <xf numFmtId="3" fontId="27" fillId="0" borderId="49" xfId="0" applyNumberFormat="1" applyFont="1" applyFill="1" applyBorder="1"/>
    <xf numFmtId="3" fontId="6" fillId="0" borderId="50" xfId="0" applyNumberFormat="1" applyFont="1" applyFill="1" applyBorder="1"/>
    <xf numFmtId="3" fontId="8" fillId="0" borderId="87" xfId="0" applyNumberFormat="1" applyFont="1" applyFill="1" applyBorder="1"/>
    <xf numFmtId="3" fontId="28" fillId="0" borderId="21" xfId="0" applyNumberFormat="1" applyFont="1" applyFill="1" applyBorder="1"/>
    <xf numFmtId="3" fontId="28" fillId="0" borderId="91" xfId="0" applyNumberFormat="1" applyFont="1" applyFill="1" applyBorder="1"/>
    <xf numFmtId="3" fontId="28" fillId="0" borderId="50" xfId="0" applyNumberFormat="1" applyFont="1" applyFill="1" applyBorder="1"/>
    <xf numFmtId="3" fontId="10" fillId="0" borderId="91" xfId="0" applyNumberFormat="1" applyFont="1" applyFill="1" applyBorder="1"/>
    <xf numFmtId="3" fontId="10" fillId="0" borderId="49" xfId="0" applyNumberFormat="1" applyFont="1" applyFill="1" applyBorder="1"/>
    <xf numFmtId="3" fontId="8" fillId="0" borderId="85" xfId="0" applyNumberFormat="1" applyFont="1" applyFill="1" applyBorder="1"/>
    <xf numFmtId="3" fontId="10" fillId="0" borderId="90" xfId="0" applyNumberFormat="1" applyFont="1" applyFill="1" applyBorder="1"/>
    <xf numFmtId="3" fontId="6" fillId="0" borderId="87" xfId="0" applyNumberFormat="1" applyFont="1" applyFill="1" applyBorder="1"/>
    <xf numFmtId="0" fontId="12" fillId="0" borderId="85" xfId="0" applyFont="1" applyFill="1" applyBorder="1"/>
    <xf numFmtId="0" fontId="12" fillId="0" borderId="89" xfId="0" applyFont="1" applyFill="1" applyBorder="1"/>
    <xf numFmtId="1" fontId="9" fillId="0" borderId="85" xfId="0" applyNumberFormat="1" applyFont="1" applyFill="1" applyBorder="1"/>
    <xf numFmtId="0" fontId="9" fillId="0" borderId="27" xfId="0" applyFont="1" applyFill="1" applyBorder="1"/>
    <xf numFmtId="3" fontId="8" fillId="0" borderId="90" xfId="0" applyNumberFormat="1" applyFont="1" applyFill="1" applyBorder="1"/>
    <xf numFmtId="3" fontId="2" fillId="0" borderId="71" xfId="0" applyNumberFormat="1" applyFont="1" applyFill="1" applyBorder="1"/>
    <xf numFmtId="3" fontId="0" fillId="0" borderId="87" xfId="0" applyNumberFormat="1" applyFill="1" applyBorder="1"/>
    <xf numFmtId="3" fontId="12" fillId="0" borderId="91" xfId="0" applyNumberFormat="1" applyFont="1" applyFill="1" applyBorder="1"/>
    <xf numFmtId="3" fontId="12" fillId="0" borderId="50" xfId="0" applyNumberFormat="1" applyFont="1" applyFill="1" applyBorder="1"/>
    <xf numFmtId="3" fontId="12" fillId="0" borderId="50" xfId="0" applyNumberFormat="1" applyFont="1" applyFill="1" applyBorder="1" applyAlignment="1">
      <alignment horizontal="right"/>
    </xf>
    <xf numFmtId="3" fontId="0" fillId="0" borderId="50" xfId="0" applyNumberFormat="1" applyFill="1" applyBorder="1"/>
    <xf numFmtId="3" fontId="0" fillId="0" borderId="86" xfId="0" applyNumberFormat="1" applyFill="1" applyBorder="1"/>
    <xf numFmtId="0" fontId="0" fillId="0" borderId="76" xfId="0" applyFill="1" applyBorder="1" applyAlignment="1"/>
    <xf numFmtId="0" fontId="0" fillId="0" borderId="92" xfId="0" applyFill="1" applyBorder="1"/>
    <xf numFmtId="3" fontId="0" fillId="0" borderId="93" xfId="0" applyNumberFormat="1" applyFill="1" applyBorder="1"/>
    <xf numFmtId="0" fontId="0" fillId="0" borderId="94" xfId="0" applyFill="1" applyBorder="1"/>
    <xf numFmtId="0" fontId="19" fillId="0" borderId="95" xfId="0" applyFont="1" applyFill="1" applyBorder="1" applyAlignment="1">
      <alignment vertical="center"/>
    </xf>
    <xf numFmtId="3" fontId="19" fillId="0" borderId="81" xfId="0" applyNumberFormat="1" applyFont="1" applyFill="1" applyBorder="1" applyAlignment="1">
      <alignment vertical="center"/>
    </xf>
    <xf numFmtId="0" fontId="19" fillId="0" borderId="95" xfId="0" applyFont="1" applyFill="1" applyBorder="1"/>
    <xf numFmtId="3" fontId="19" fillId="0" borderId="81" xfId="0" applyNumberFormat="1" applyFont="1" applyFill="1" applyBorder="1"/>
    <xf numFmtId="0" fontId="14" fillId="0" borderId="70" xfId="0" applyFont="1" applyFill="1" applyBorder="1"/>
    <xf numFmtId="3" fontId="14" fillId="0" borderId="42" xfId="0" applyNumberFormat="1" applyFont="1" applyFill="1" applyBorder="1"/>
    <xf numFmtId="4" fontId="14" fillId="0" borderId="42" xfId="0" applyNumberFormat="1" applyFont="1" applyFill="1" applyBorder="1"/>
    <xf numFmtId="3" fontId="14" fillId="0" borderId="40" xfId="0" applyNumberFormat="1" applyFont="1" applyFill="1" applyBorder="1"/>
    <xf numFmtId="3" fontId="14" fillId="0" borderId="41" xfId="0" applyNumberFormat="1" applyFont="1" applyFill="1" applyBorder="1"/>
    <xf numFmtId="3" fontId="14" fillId="0" borderId="71" xfId="0" applyNumberFormat="1" applyFont="1" applyFill="1" applyBorder="1"/>
    <xf numFmtId="3" fontId="32" fillId="0" borderId="0" xfId="0" applyNumberFormat="1" applyFont="1"/>
    <xf numFmtId="3" fontId="14" fillId="0" borderId="0" xfId="0" applyNumberFormat="1" applyFont="1"/>
    <xf numFmtId="0" fontId="33" fillId="0" borderId="0" xfId="0" applyFont="1"/>
    <xf numFmtId="0" fontId="34" fillId="0" borderId="0" xfId="0" applyFont="1"/>
    <xf numFmtId="0" fontId="8" fillId="0" borderId="26" xfId="0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horizontal="left"/>
    </xf>
    <xf numFmtId="0" fontId="2" fillId="0" borderId="38" xfId="0" applyFont="1" applyFill="1" applyBorder="1"/>
    <xf numFmtId="4" fontId="2" fillId="0" borderId="19" xfId="0" applyNumberFormat="1" applyFont="1" applyFill="1" applyBorder="1"/>
    <xf numFmtId="3" fontId="2" fillId="0" borderId="38" xfId="0" applyNumberFormat="1" applyFont="1" applyFill="1" applyBorder="1"/>
    <xf numFmtId="4" fontId="2" fillId="0" borderId="38" xfId="0" applyNumberFormat="1" applyFont="1" applyFill="1" applyBorder="1"/>
    <xf numFmtId="3" fontId="2" fillId="0" borderId="88" xfId="0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  <xf numFmtId="0" fontId="5" fillId="0" borderId="41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7" xfId="0" applyFont="1" applyFill="1" applyBorder="1"/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/>
    </xf>
    <xf numFmtId="0" fontId="13" fillId="0" borderId="15" xfId="0" applyFont="1" applyFill="1" applyBorder="1" applyAlignment="1">
      <alignment horizontal="left"/>
    </xf>
    <xf numFmtId="0" fontId="2" fillId="0" borderId="10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76" xfId="0" applyFont="1" applyBorder="1" applyAlignment="1">
      <alignment horizontal="left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83" xfId="0" applyFont="1" applyFill="1" applyBorder="1" applyAlignment="1">
      <alignment horizontal="center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6" fontId="2" fillId="0" borderId="44" xfId="0" applyNumberFormat="1" applyFont="1" applyFill="1" applyBorder="1" applyAlignment="1">
      <alignment horizontal="center" vertical="center" wrapText="1"/>
    </xf>
    <xf numFmtId="16" fontId="2" fillId="0" borderId="4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 wrapText="1"/>
    </xf>
    <xf numFmtId="49" fontId="2" fillId="0" borderId="18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6" fillId="0" borderId="18" xfId="0" applyNumberFormat="1" applyFont="1" applyFill="1" applyBorder="1" applyAlignment="1">
      <alignment horizontal="center"/>
    </xf>
    <xf numFmtId="49" fontId="6" fillId="0" borderId="20" xfId="0" applyNumberFormat="1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/>
    </xf>
    <xf numFmtId="0" fontId="6" fillId="0" borderId="60" xfId="0" applyFont="1" applyFill="1" applyBorder="1" applyAlignment="1">
      <alignment horizontal="left"/>
    </xf>
    <xf numFmtId="0" fontId="10" fillId="0" borderId="37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  <xf numFmtId="49" fontId="6" fillId="0" borderId="60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0" fontId="9" fillId="0" borderId="37" xfId="0" applyNumberFormat="1" applyFont="1" applyFill="1" applyBorder="1" applyAlignment="1">
      <alignment horizontal="left"/>
    </xf>
    <xf numFmtId="0" fontId="9" fillId="0" borderId="15" xfId="0" applyNumberFormat="1" applyFont="1" applyFill="1" applyBorder="1" applyAlignment="1">
      <alignment horizontal="left"/>
    </xf>
    <xf numFmtId="49" fontId="6" fillId="0" borderId="37" xfId="0" applyNumberFormat="1" applyFont="1" applyFill="1" applyBorder="1" applyAlignment="1">
      <alignment horizontal="left"/>
    </xf>
    <xf numFmtId="49" fontId="6" fillId="0" borderId="15" xfId="0" applyNumberFormat="1" applyFont="1" applyFill="1" applyBorder="1" applyAlignment="1">
      <alignment horizontal="left"/>
    </xf>
    <xf numFmtId="0" fontId="12" fillId="0" borderId="20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66" xfId="0" applyFont="1" applyFill="1" applyBorder="1" applyAlignment="1">
      <alignment horizontal="center"/>
    </xf>
    <xf numFmtId="0" fontId="12" fillId="0" borderId="36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9" fillId="0" borderId="37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35" fillId="0" borderId="76" xfId="0" applyFont="1" applyBorder="1" applyAlignment="1">
      <alignment horizontal="left"/>
    </xf>
    <xf numFmtId="0" fontId="6" fillId="0" borderId="2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16" fontId="6" fillId="0" borderId="18" xfId="0" applyNumberFormat="1" applyFont="1" applyFill="1" applyBorder="1" applyAlignment="1">
      <alignment horizontal="center"/>
    </xf>
    <xf numFmtId="16" fontId="6" fillId="0" borderId="20" xfId="0" applyNumberFormat="1" applyFont="1" applyFill="1" applyBorder="1" applyAlignment="1">
      <alignment horizontal="center"/>
    </xf>
    <xf numFmtId="16" fontId="6" fillId="0" borderId="7" xfId="0" applyNumberFormat="1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3" fillId="0" borderId="83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2" fillId="0" borderId="16" xfId="0" applyFont="1" applyFill="1" applyBorder="1" applyAlignment="1">
      <alignment horizontal="center"/>
    </xf>
    <xf numFmtId="16" fontId="2" fillId="0" borderId="76" xfId="0" applyNumberFormat="1" applyFont="1" applyFill="1" applyBorder="1" applyAlignment="1">
      <alignment horizontal="left"/>
    </xf>
    <xf numFmtId="16" fontId="2" fillId="0" borderId="2" xfId="0" applyNumberFormat="1" applyFont="1" applyFill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/>
    </xf>
    <xf numFmtId="0" fontId="6" fillId="0" borderId="26" xfId="0" applyFont="1" applyFill="1" applyBorder="1" applyAlignment="1">
      <alignment horizontal="left"/>
    </xf>
    <xf numFmtId="49" fontId="2" fillId="0" borderId="19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6" fillId="0" borderId="19" xfId="0" applyNumberFormat="1" applyFont="1" applyFill="1" applyBorder="1" applyAlignment="1">
      <alignment horizontal="center"/>
    </xf>
    <xf numFmtId="49" fontId="6" fillId="0" borderId="12" xfId="0" applyNumberFormat="1" applyFont="1" applyFill="1" applyBorder="1" applyAlignment="1">
      <alignment horizontal="center"/>
    </xf>
    <xf numFmtId="49" fontId="6" fillId="0" borderId="26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5" fillId="0" borderId="70" xfId="0" applyFont="1" applyFill="1" applyBorder="1" applyAlignment="1">
      <alignment horizontal="left"/>
    </xf>
    <xf numFmtId="0" fontId="5" fillId="0" borderId="42" xfId="0" applyFont="1" applyFill="1" applyBorder="1" applyAlignment="1">
      <alignment horizontal="left"/>
    </xf>
    <xf numFmtId="49" fontId="6" fillId="0" borderId="17" xfId="0" applyNumberFormat="1" applyFont="1" applyFill="1" applyBorder="1" applyAlignment="1">
      <alignment horizontal="left"/>
    </xf>
    <xf numFmtId="49" fontId="2" fillId="0" borderId="14" xfId="0" applyNumberFormat="1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left"/>
    </xf>
    <xf numFmtId="49" fontId="6" fillId="0" borderId="14" xfId="0" applyNumberFormat="1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0" fillId="0" borderId="78" xfId="0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96" xfId="0" applyFill="1" applyBorder="1" applyAlignment="1">
      <alignment horizontal="center"/>
    </xf>
    <xf numFmtId="0" fontId="14" fillId="0" borderId="97" xfId="0" applyFont="1" applyFill="1" applyBorder="1" applyAlignment="1">
      <alignment horizontal="left" vertical="center"/>
    </xf>
    <xf numFmtId="0" fontId="14" fillId="0" borderId="78" xfId="0" applyFont="1" applyFill="1" applyBorder="1" applyAlignment="1">
      <alignment horizontal="left" vertical="center"/>
    </xf>
    <xf numFmtId="0" fontId="14" fillId="0" borderId="98" xfId="0" applyFont="1" applyFill="1" applyBorder="1" applyAlignment="1">
      <alignment horizontal="left" vertical="center"/>
    </xf>
    <xf numFmtId="0" fontId="14" fillId="0" borderId="99" xfId="0" applyFont="1" applyFill="1" applyBorder="1" applyAlignment="1">
      <alignment horizontal="left" vertical="center"/>
    </xf>
    <xf numFmtId="0" fontId="14" fillId="0" borderId="76" xfId="0" applyFont="1" applyFill="1" applyBorder="1" applyAlignment="1">
      <alignment horizontal="left" vertical="center"/>
    </xf>
    <xf numFmtId="0" fontId="14" fillId="0" borderId="10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9" xfId="0" applyFont="1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7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Z/usb/Rozpo&#269;et%20mesta%202020/zdrojov&#253;%20rozpo&#269;et%202020%20platn&#225;%20valoriz&#225;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.inv."/>
      <sheetName val="1.1"/>
      <sheetName val="1.2"/>
      <sheetName val="1.3"/>
      <sheetName val="1.4"/>
      <sheetName val="2.2"/>
      <sheetName val="2.3"/>
      <sheetName val="3.2"/>
      <sheetName val="3.3 13.1"/>
      <sheetName val="3.4"/>
      <sheetName val="3.5"/>
      <sheetName val="3.6"/>
      <sheetName val="14.1"/>
      <sheetName val="4.1.1"/>
      <sheetName val="4.1.2"/>
      <sheetName val="4.5 SÚ"/>
      <sheetName val="4.5 ŽP"/>
      <sheetName val="5.1"/>
      <sheetName val="5.2"/>
      <sheetName val="9.6"/>
      <sheetName val="9.7"/>
      <sheetName val="13.3"/>
      <sheetName val="14.2.1"/>
      <sheetName val="14.2.2"/>
      <sheetName val="14.3.1"/>
      <sheetName val="14.3.2"/>
      <sheetName val="14.6"/>
      <sheetName val="3.6 ChD"/>
      <sheetName val="Hárok6"/>
      <sheetName val="správa spolu"/>
      <sheetName val="správa 630"/>
      <sheetName val="PD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SUM"/>
      <sheetName val="sum1"/>
      <sheetName val="Programy zodpovednosť"/>
      <sheetName val="príjmy k programom"/>
      <sheetName val="PV1"/>
      <sheetName val="Bežné príjmy"/>
      <sheetName val="bežné výdavky"/>
      <sheetName val="Kapitálové príjmy"/>
      <sheetName val="Kapitálové výdavky"/>
      <sheetName val="Fin operácie - príjmy"/>
      <sheetName val="Finančné operácie - výdavky"/>
      <sheetName val="HOSP."/>
      <sheetName val="Zdroje krytia"/>
      <sheetName val="Hárok1"/>
      <sheetName val="Hárok2"/>
      <sheetName val="Hárok3"/>
      <sheetName val="Hárok4"/>
      <sheetName val="Hárok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6">
          <cell r="G16">
            <v>164040</v>
          </cell>
        </row>
      </sheetData>
      <sheetData sheetId="33">
        <row r="15">
          <cell r="L15">
            <v>25500</v>
          </cell>
        </row>
      </sheetData>
      <sheetData sheetId="34">
        <row r="27">
          <cell r="H27">
            <v>8388</v>
          </cell>
        </row>
      </sheetData>
      <sheetData sheetId="35">
        <row r="26">
          <cell r="G26">
            <v>12582</v>
          </cell>
        </row>
      </sheetData>
      <sheetData sheetId="36">
        <row r="15">
          <cell r="G15">
            <v>141938</v>
          </cell>
        </row>
      </sheetData>
      <sheetData sheetId="37">
        <row r="13">
          <cell r="J13">
            <v>582946</v>
          </cell>
        </row>
      </sheetData>
      <sheetData sheetId="38">
        <row r="13">
          <cell r="J13">
            <v>211757</v>
          </cell>
        </row>
      </sheetData>
      <sheetData sheetId="39">
        <row r="13">
          <cell r="L13">
            <v>65000</v>
          </cell>
        </row>
      </sheetData>
      <sheetData sheetId="40">
        <row r="18">
          <cell r="L18">
            <v>1405835</v>
          </cell>
        </row>
      </sheetData>
      <sheetData sheetId="41">
        <row r="19">
          <cell r="J19">
            <v>195923</v>
          </cell>
        </row>
      </sheetData>
      <sheetData sheetId="42">
        <row r="22">
          <cell r="J22">
            <v>100433</v>
          </cell>
        </row>
      </sheetData>
      <sheetData sheetId="43">
        <row r="20">
          <cell r="J20">
            <v>151229</v>
          </cell>
        </row>
      </sheetData>
      <sheetData sheetId="44">
        <row r="23">
          <cell r="G23">
            <v>25033</v>
          </cell>
        </row>
      </sheetData>
      <sheetData sheetId="45">
        <row r="26">
          <cell r="G26">
            <v>0</v>
          </cell>
        </row>
      </sheetData>
      <sheetData sheetId="46"/>
      <sheetData sheetId="47">
        <row r="4">
          <cell r="C4">
            <v>11824420</v>
          </cell>
        </row>
      </sheetData>
      <sheetData sheetId="48"/>
      <sheetData sheetId="49"/>
      <sheetData sheetId="50"/>
      <sheetData sheetId="51">
        <row r="3">
          <cell r="O3">
            <v>6809462.0100000007</v>
          </cell>
        </row>
        <row r="108">
          <cell r="D108">
            <v>7125871</v>
          </cell>
          <cell r="E108">
            <v>7561840</v>
          </cell>
          <cell r="F108">
            <v>9082354</v>
          </cell>
          <cell r="G108">
            <v>9080838</v>
          </cell>
          <cell r="H108">
            <v>8537685</v>
          </cell>
          <cell r="I108">
            <v>9096722</v>
          </cell>
          <cell r="J108">
            <v>9201831</v>
          </cell>
          <cell r="K108">
            <v>9722622</v>
          </cell>
          <cell r="L108">
            <v>9640328.2399999984</v>
          </cell>
          <cell r="M108">
            <v>10178626.01</v>
          </cell>
          <cell r="N108">
            <v>10784511.560000002</v>
          </cell>
          <cell r="O108">
            <v>10947354.260000002</v>
          </cell>
          <cell r="P108">
            <v>11835790.83</v>
          </cell>
          <cell r="Q108">
            <v>12717671</v>
          </cell>
          <cell r="R108">
            <v>12332394</v>
          </cell>
          <cell r="T108">
            <v>12360557</v>
          </cell>
          <cell r="U108">
            <v>12389984</v>
          </cell>
        </row>
      </sheetData>
      <sheetData sheetId="52">
        <row r="207">
          <cell r="D207">
            <v>5867125</v>
          </cell>
          <cell r="E207">
            <v>6460200</v>
          </cell>
          <cell r="F207">
            <v>7832271</v>
          </cell>
          <cell r="G207">
            <v>8716285.4299999997</v>
          </cell>
          <cell r="H207">
            <v>9309387</v>
          </cell>
          <cell r="I207">
            <v>8743512.1999999993</v>
          </cell>
          <cell r="J207">
            <v>8908071</v>
          </cell>
          <cell r="K207">
            <v>8934542</v>
          </cell>
          <cell r="L207">
            <v>9572545.3800000008</v>
          </cell>
          <cell r="M207">
            <v>9554914.7999999989</v>
          </cell>
          <cell r="N207">
            <v>9695081.3400000017</v>
          </cell>
          <cell r="O207">
            <v>10029034.879999999</v>
          </cell>
          <cell r="P207">
            <v>10815176.439999999</v>
          </cell>
          <cell r="Q207">
            <v>12041710</v>
          </cell>
          <cell r="R207">
            <v>11824420</v>
          </cell>
          <cell r="T207">
            <v>11854256</v>
          </cell>
          <cell r="U207">
            <v>11883683</v>
          </cell>
        </row>
      </sheetData>
      <sheetData sheetId="53">
        <row r="3">
          <cell r="O3">
            <v>542510.87</v>
          </cell>
        </row>
        <row r="52">
          <cell r="D52">
            <v>2113092</v>
          </cell>
          <cell r="E52">
            <v>1017958</v>
          </cell>
          <cell r="F52">
            <v>1245369</v>
          </cell>
          <cell r="G52">
            <v>4391413</v>
          </cell>
          <cell r="H52">
            <v>3456141</v>
          </cell>
          <cell r="I52">
            <v>4649713</v>
          </cell>
          <cell r="J52">
            <v>4502774.0599999996</v>
          </cell>
          <cell r="K52">
            <v>3678497</v>
          </cell>
          <cell r="L52">
            <v>1218338.5899999999</v>
          </cell>
          <cell r="M52">
            <v>752297.52</v>
          </cell>
          <cell r="N52">
            <v>935536.18</v>
          </cell>
          <cell r="O52">
            <v>1696241.7999999998</v>
          </cell>
          <cell r="P52">
            <v>2123247.52</v>
          </cell>
          <cell r="Q52">
            <v>1884232</v>
          </cell>
          <cell r="R52">
            <v>160000</v>
          </cell>
          <cell r="S52">
            <v>0.1710249196348558</v>
          </cell>
          <cell r="T52">
            <v>0</v>
          </cell>
          <cell r="U52">
            <v>0</v>
          </cell>
        </row>
      </sheetData>
      <sheetData sheetId="54">
        <row r="139">
          <cell r="D139">
            <v>2988050</v>
          </cell>
          <cell r="E139">
            <v>1793069</v>
          </cell>
          <cell r="F139">
            <v>2942409</v>
          </cell>
          <cell r="G139">
            <v>4880528</v>
          </cell>
          <cell r="H139">
            <v>5977301</v>
          </cell>
          <cell r="I139">
            <v>5818483</v>
          </cell>
          <cell r="J139">
            <v>4719096</v>
          </cell>
          <cell r="K139">
            <v>3939694</v>
          </cell>
          <cell r="L139">
            <v>1800938.79</v>
          </cell>
          <cell r="M139">
            <v>2904600.1800000006</v>
          </cell>
          <cell r="N139">
            <v>1348818.6500000001</v>
          </cell>
          <cell r="O139">
            <v>1900647.68</v>
          </cell>
          <cell r="P139">
            <v>2329182.13</v>
          </cell>
          <cell r="Q139">
            <v>5008556</v>
          </cell>
          <cell r="R139">
            <v>2565432</v>
          </cell>
          <cell r="T139">
            <v>0</v>
          </cell>
          <cell r="U139">
            <v>0</v>
          </cell>
        </row>
      </sheetData>
      <sheetData sheetId="55">
        <row r="4">
          <cell r="R4">
            <v>984498</v>
          </cell>
        </row>
        <row r="16">
          <cell r="D16">
            <v>499436</v>
          </cell>
          <cell r="E16">
            <v>313085</v>
          </cell>
          <cell r="F16">
            <v>1640749</v>
          </cell>
          <cell r="G16">
            <v>2754938</v>
          </cell>
          <cell r="H16">
            <v>4479434</v>
          </cell>
          <cell r="I16">
            <v>2266668</v>
          </cell>
          <cell r="J16">
            <v>1305406</v>
          </cell>
          <cell r="K16">
            <v>1509534</v>
          </cell>
          <cell r="L16">
            <v>1300969.1299999999</v>
          </cell>
          <cell r="M16">
            <v>2766561.36</v>
          </cell>
          <cell r="N16">
            <v>2492133.9299999997</v>
          </cell>
          <cell r="O16">
            <v>1267177.1200000001</v>
          </cell>
          <cell r="P16">
            <v>1389578.65</v>
          </cell>
          <cell r="Q16">
            <v>2904363</v>
          </cell>
          <cell r="R16">
            <v>2403759</v>
          </cell>
          <cell r="U16">
            <v>0</v>
          </cell>
        </row>
      </sheetData>
      <sheetData sheetId="56">
        <row r="13">
          <cell r="D13">
            <v>477793</v>
          </cell>
          <cell r="E13">
            <v>470856</v>
          </cell>
          <cell r="F13">
            <v>334085</v>
          </cell>
          <cell r="G13">
            <v>1303204</v>
          </cell>
          <cell r="H13">
            <v>978096</v>
          </cell>
          <cell r="I13">
            <v>1356608</v>
          </cell>
          <cell r="J13">
            <v>1191263</v>
          </cell>
          <cell r="K13">
            <v>977990</v>
          </cell>
          <cell r="L13">
            <v>439019.94999999995</v>
          </cell>
          <cell r="M13">
            <v>540080.30000000005</v>
          </cell>
          <cell r="N13">
            <v>2548753.6599999997</v>
          </cell>
          <cell r="O13">
            <v>484835.82</v>
          </cell>
          <cell r="P13">
            <v>849215.54</v>
          </cell>
          <cell r="Q13">
            <v>456000</v>
          </cell>
          <cell r="R13">
            <v>506301</v>
          </cell>
          <cell r="T13">
            <v>506301</v>
          </cell>
          <cell r="U13">
            <v>506301</v>
          </cell>
        </row>
      </sheetData>
      <sheetData sheetId="57"/>
      <sheetData sheetId="58">
        <row r="26">
          <cell r="G26">
            <v>1276957</v>
          </cell>
          <cell r="H26">
            <v>142304</v>
          </cell>
          <cell r="J26">
            <v>743957</v>
          </cell>
        </row>
      </sheetData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7"/>
  <sheetViews>
    <sheetView tabSelected="1" workbookViewId="0">
      <selection activeCell="W7" sqref="W7"/>
    </sheetView>
  </sheetViews>
  <sheetFormatPr defaultRowHeight="12.75" x14ac:dyDescent="0.2"/>
  <cols>
    <col min="1" max="2" width="9.140625" style="614"/>
    <col min="3" max="3" width="32.140625" style="614" customWidth="1"/>
    <col min="4" max="11" width="12.7109375" style="614" hidden="1" customWidth="1"/>
    <col min="12" max="12" width="14.42578125" style="614" hidden="1" customWidth="1"/>
    <col min="13" max="13" width="16" style="614" hidden="1" customWidth="1"/>
    <col min="14" max="14" width="16.140625" style="614" hidden="1" customWidth="1"/>
    <col min="15" max="15" width="17" style="614" hidden="1" customWidth="1"/>
    <col min="16" max="16" width="17" style="614" customWidth="1"/>
    <col min="17" max="17" width="13.7109375" style="614" customWidth="1"/>
    <col min="18" max="18" width="14.28515625" style="614" customWidth="1"/>
    <col min="19" max="19" width="8.28515625" style="614" customWidth="1"/>
    <col min="20" max="20" width="13.7109375" style="614" customWidth="1"/>
    <col min="21" max="21" width="13.85546875" style="614" customWidth="1"/>
    <col min="22" max="24" width="9.140625" style="614"/>
    <col min="25" max="25" width="12.7109375" style="614" customWidth="1"/>
    <col min="26" max="257" width="9.140625" style="614"/>
    <col min="258" max="258" width="32.140625" style="614" customWidth="1"/>
    <col min="259" max="270" width="0" style="614" hidden="1" customWidth="1"/>
    <col min="271" max="271" width="17" style="614" customWidth="1"/>
    <col min="272" max="272" width="13.7109375" style="614" customWidth="1"/>
    <col min="273" max="273" width="14.28515625" style="614" customWidth="1"/>
    <col min="274" max="274" width="8.28515625" style="614" customWidth="1"/>
    <col min="275" max="275" width="13.7109375" style="614" customWidth="1"/>
    <col min="276" max="276" width="13.85546875" style="614" customWidth="1"/>
    <col min="277" max="280" width="9.140625" style="614"/>
    <col min="281" max="281" width="12.7109375" style="614" customWidth="1"/>
    <col min="282" max="513" width="9.140625" style="614"/>
    <col min="514" max="514" width="32.140625" style="614" customWidth="1"/>
    <col min="515" max="526" width="0" style="614" hidden="1" customWidth="1"/>
    <col min="527" max="527" width="17" style="614" customWidth="1"/>
    <col min="528" max="528" width="13.7109375" style="614" customWidth="1"/>
    <col min="529" max="529" width="14.28515625" style="614" customWidth="1"/>
    <col min="530" max="530" width="8.28515625" style="614" customWidth="1"/>
    <col min="531" max="531" width="13.7109375" style="614" customWidth="1"/>
    <col min="532" max="532" width="13.85546875" style="614" customWidth="1"/>
    <col min="533" max="536" width="9.140625" style="614"/>
    <col min="537" max="537" width="12.7109375" style="614" customWidth="1"/>
    <col min="538" max="769" width="9.140625" style="614"/>
    <col min="770" max="770" width="32.140625" style="614" customWidth="1"/>
    <col min="771" max="782" width="0" style="614" hidden="1" customWidth="1"/>
    <col min="783" max="783" width="17" style="614" customWidth="1"/>
    <col min="784" max="784" width="13.7109375" style="614" customWidth="1"/>
    <col min="785" max="785" width="14.28515625" style="614" customWidth="1"/>
    <col min="786" max="786" width="8.28515625" style="614" customWidth="1"/>
    <col min="787" max="787" width="13.7109375" style="614" customWidth="1"/>
    <col min="788" max="788" width="13.85546875" style="614" customWidth="1"/>
    <col min="789" max="792" width="9.140625" style="614"/>
    <col min="793" max="793" width="12.7109375" style="614" customWidth="1"/>
    <col min="794" max="1025" width="9.140625" style="614"/>
    <col min="1026" max="1026" width="32.140625" style="614" customWidth="1"/>
    <col min="1027" max="1038" width="0" style="614" hidden="1" customWidth="1"/>
    <col min="1039" max="1039" width="17" style="614" customWidth="1"/>
    <col min="1040" max="1040" width="13.7109375" style="614" customWidth="1"/>
    <col min="1041" max="1041" width="14.28515625" style="614" customWidth="1"/>
    <col min="1042" max="1042" width="8.28515625" style="614" customWidth="1"/>
    <col min="1043" max="1043" width="13.7109375" style="614" customWidth="1"/>
    <col min="1044" max="1044" width="13.85546875" style="614" customWidth="1"/>
    <col min="1045" max="1048" width="9.140625" style="614"/>
    <col min="1049" max="1049" width="12.7109375" style="614" customWidth="1"/>
    <col min="1050" max="1281" width="9.140625" style="614"/>
    <col min="1282" max="1282" width="32.140625" style="614" customWidth="1"/>
    <col min="1283" max="1294" width="0" style="614" hidden="1" customWidth="1"/>
    <col min="1295" max="1295" width="17" style="614" customWidth="1"/>
    <col min="1296" max="1296" width="13.7109375" style="614" customWidth="1"/>
    <col min="1297" max="1297" width="14.28515625" style="614" customWidth="1"/>
    <col min="1298" max="1298" width="8.28515625" style="614" customWidth="1"/>
    <col min="1299" max="1299" width="13.7109375" style="614" customWidth="1"/>
    <col min="1300" max="1300" width="13.85546875" style="614" customWidth="1"/>
    <col min="1301" max="1304" width="9.140625" style="614"/>
    <col min="1305" max="1305" width="12.7109375" style="614" customWidth="1"/>
    <col min="1306" max="1537" width="9.140625" style="614"/>
    <col min="1538" max="1538" width="32.140625" style="614" customWidth="1"/>
    <col min="1539" max="1550" width="0" style="614" hidden="1" customWidth="1"/>
    <col min="1551" max="1551" width="17" style="614" customWidth="1"/>
    <col min="1552" max="1552" width="13.7109375" style="614" customWidth="1"/>
    <col min="1553" max="1553" width="14.28515625" style="614" customWidth="1"/>
    <col min="1554" max="1554" width="8.28515625" style="614" customWidth="1"/>
    <col min="1555" max="1555" width="13.7109375" style="614" customWidth="1"/>
    <col min="1556" max="1556" width="13.85546875" style="614" customWidth="1"/>
    <col min="1557" max="1560" width="9.140625" style="614"/>
    <col min="1561" max="1561" width="12.7109375" style="614" customWidth="1"/>
    <col min="1562" max="1793" width="9.140625" style="614"/>
    <col min="1794" max="1794" width="32.140625" style="614" customWidth="1"/>
    <col min="1795" max="1806" width="0" style="614" hidden="1" customWidth="1"/>
    <col min="1807" max="1807" width="17" style="614" customWidth="1"/>
    <col min="1808" max="1808" width="13.7109375" style="614" customWidth="1"/>
    <col min="1809" max="1809" width="14.28515625" style="614" customWidth="1"/>
    <col min="1810" max="1810" width="8.28515625" style="614" customWidth="1"/>
    <col min="1811" max="1811" width="13.7109375" style="614" customWidth="1"/>
    <col min="1812" max="1812" width="13.85546875" style="614" customWidth="1"/>
    <col min="1813" max="1816" width="9.140625" style="614"/>
    <col min="1817" max="1817" width="12.7109375" style="614" customWidth="1"/>
    <col min="1818" max="2049" width="9.140625" style="614"/>
    <col min="2050" max="2050" width="32.140625" style="614" customWidth="1"/>
    <col min="2051" max="2062" width="0" style="614" hidden="1" customWidth="1"/>
    <col min="2063" max="2063" width="17" style="614" customWidth="1"/>
    <col min="2064" max="2064" width="13.7109375" style="614" customWidth="1"/>
    <col min="2065" max="2065" width="14.28515625" style="614" customWidth="1"/>
    <col min="2066" max="2066" width="8.28515625" style="614" customWidth="1"/>
    <col min="2067" max="2067" width="13.7109375" style="614" customWidth="1"/>
    <col min="2068" max="2068" width="13.85546875" style="614" customWidth="1"/>
    <col min="2069" max="2072" width="9.140625" style="614"/>
    <col min="2073" max="2073" width="12.7109375" style="614" customWidth="1"/>
    <col min="2074" max="2305" width="9.140625" style="614"/>
    <col min="2306" max="2306" width="32.140625" style="614" customWidth="1"/>
    <col min="2307" max="2318" width="0" style="614" hidden="1" customWidth="1"/>
    <col min="2319" max="2319" width="17" style="614" customWidth="1"/>
    <col min="2320" max="2320" width="13.7109375" style="614" customWidth="1"/>
    <col min="2321" max="2321" width="14.28515625" style="614" customWidth="1"/>
    <col min="2322" max="2322" width="8.28515625" style="614" customWidth="1"/>
    <col min="2323" max="2323" width="13.7109375" style="614" customWidth="1"/>
    <col min="2324" max="2324" width="13.85546875" style="614" customWidth="1"/>
    <col min="2325" max="2328" width="9.140625" style="614"/>
    <col min="2329" max="2329" width="12.7109375" style="614" customWidth="1"/>
    <col min="2330" max="2561" width="9.140625" style="614"/>
    <col min="2562" max="2562" width="32.140625" style="614" customWidth="1"/>
    <col min="2563" max="2574" width="0" style="614" hidden="1" customWidth="1"/>
    <col min="2575" max="2575" width="17" style="614" customWidth="1"/>
    <col min="2576" max="2576" width="13.7109375" style="614" customWidth="1"/>
    <col min="2577" max="2577" width="14.28515625" style="614" customWidth="1"/>
    <col min="2578" max="2578" width="8.28515625" style="614" customWidth="1"/>
    <col min="2579" max="2579" width="13.7109375" style="614" customWidth="1"/>
    <col min="2580" max="2580" width="13.85546875" style="614" customWidth="1"/>
    <col min="2581" max="2584" width="9.140625" style="614"/>
    <col min="2585" max="2585" width="12.7109375" style="614" customWidth="1"/>
    <col min="2586" max="2817" width="9.140625" style="614"/>
    <col min="2818" max="2818" width="32.140625" style="614" customWidth="1"/>
    <col min="2819" max="2830" width="0" style="614" hidden="1" customWidth="1"/>
    <col min="2831" max="2831" width="17" style="614" customWidth="1"/>
    <col min="2832" max="2832" width="13.7109375" style="614" customWidth="1"/>
    <col min="2833" max="2833" width="14.28515625" style="614" customWidth="1"/>
    <col min="2834" max="2834" width="8.28515625" style="614" customWidth="1"/>
    <col min="2835" max="2835" width="13.7109375" style="614" customWidth="1"/>
    <col min="2836" max="2836" width="13.85546875" style="614" customWidth="1"/>
    <col min="2837" max="2840" width="9.140625" style="614"/>
    <col min="2841" max="2841" width="12.7109375" style="614" customWidth="1"/>
    <col min="2842" max="3073" width="9.140625" style="614"/>
    <col min="3074" max="3074" width="32.140625" style="614" customWidth="1"/>
    <col min="3075" max="3086" width="0" style="614" hidden="1" customWidth="1"/>
    <col min="3087" max="3087" width="17" style="614" customWidth="1"/>
    <col min="3088" max="3088" width="13.7109375" style="614" customWidth="1"/>
    <col min="3089" max="3089" width="14.28515625" style="614" customWidth="1"/>
    <col min="3090" max="3090" width="8.28515625" style="614" customWidth="1"/>
    <col min="3091" max="3091" width="13.7109375" style="614" customWidth="1"/>
    <col min="3092" max="3092" width="13.85546875" style="614" customWidth="1"/>
    <col min="3093" max="3096" width="9.140625" style="614"/>
    <col min="3097" max="3097" width="12.7109375" style="614" customWidth="1"/>
    <col min="3098" max="3329" width="9.140625" style="614"/>
    <col min="3330" max="3330" width="32.140625" style="614" customWidth="1"/>
    <col min="3331" max="3342" width="0" style="614" hidden="1" customWidth="1"/>
    <col min="3343" max="3343" width="17" style="614" customWidth="1"/>
    <col min="3344" max="3344" width="13.7109375" style="614" customWidth="1"/>
    <col min="3345" max="3345" width="14.28515625" style="614" customWidth="1"/>
    <col min="3346" max="3346" width="8.28515625" style="614" customWidth="1"/>
    <col min="3347" max="3347" width="13.7109375" style="614" customWidth="1"/>
    <col min="3348" max="3348" width="13.85546875" style="614" customWidth="1"/>
    <col min="3349" max="3352" width="9.140625" style="614"/>
    <col min="3353" max="3353" width="12.7109375" style="614" customWidth="1"/>
    <col min="3354" max="3585" width="9.140625" style="614"/>
    <col min="3586" max="3586" width="32.140625" style="614" customWidth="1"/>
    <col min="3587" max="3598" width="0" style="614" hidden="1" customWidth="1"/>
    <col min="3599" max="3599" width="17" style="614" customWidth="1"/>
    <col min="3600" max="3600" width="13.7109375" style="614" customWidth="1"/>
    <col min="3601" max="3601" width="14.28515625" style="614" customWidth="1"/>
    <col min="3602" max="3602" width="8.28515625" style="614" customWidth="1"/>
    <col min="3603" max="3603" width="13.7109375" style="614" customWidth="1"/>
    <col min="3604" max="3604" width="13.85546875" style="614" customWidth="1"/>
    <col min="3605" max="3608" width="9.140625" style="614"/>
    <col min="3609" max="3609" width="12.7109375" style="614" customWidth="1"/>
    <col min="3610" max="3841" width="9.140625" style="614"/>
    <col min="3842" max="3842" width="32.140625" style="614" customWidth="1"/>
    <col min="3843" max="3854" width="0" style="614" hidden="1" customWidth="1"/>
    <col min="3855" max="3855" width="17" style="614" customWidth="1"/>
    <col min="3856" max="3856" width="13.7109375" style="614" customWidth="1"/>
    <col min="3857" max="3857" width="14.28515625" style="614" customWidth="1"/>
    <col min="3858" max="3858" width="8.28515625" style="614" customWidth="1"/>
    <col min="3859" max="3859" width="13.7109375" style="614" customWidth="1"/>
    <col min="3860" max="3860" width="13.85546875" style="614" customWidth="1"/>
    <col min="3861" max="3864" width="9.140625" style="614"/>
    <col min="3865" max="3865" width="12.7109375" style="614" customWidth="1"/>
    <col min="3866" max="4097" width="9.140625" style="614"/>
    <col min="4098" max="4098" width="32.140625" style="614" customWidth="1"/>
    <col min="4099" max="4110" width="0" style="614" hidden="1" customWidth="1"/>
    <col min="4111" max="4111" width="17" style="614" customWidth="1"/>
    <col min="4112" max="4112" width="13.7109375" style="614" customWidth="1"/>
    <col min="4113" max="4113" width="14.28515625" style="614" customWidth="1"/>
    <col min="4114" max="4114" width="8.28515625" style="614" customWidth="1"/>
    <col min="4115" max="4115" width="13.7109375" style="614" customWidth="1"/>
    <col min="4116" max="4116" width="13.85546875" style="614" customWidth="1"/>
    <col min="4117" max="4120" width="9.140625" style="614"/>
    <col min="4121" max="4121" width="12.7109375" style="614" customWidth="1"/>
    <col min="4122" max="4353" width="9.140625" style="614"/>
    <col min="4354" max="4354" width="32.140625" style="614" customWidth="1"/>
    <col min="4355" max="4366" width="0" style="614" hidden="1" customWidth="1"/>
    <col min="4367" max="4367" width="17" style="614" customWidth="1"/>
    <col min="4368" max="4368" width="13.7109375" style="614" customWidth="1"/>
    <col min="4369" max="4369" width="14.28515625" style="614" customWidth="1"/>
    <col min="4370" max="4370" width="8.28515625" style="614" customWidth="1"/>
    <col min="4371" max="4371" width="13.7109375" style="614" customWidth="1"/>
    <col min="4372" max="4372" width="13.85546875" style="614" customWidth="1"/>
    <col min="4373" max="4376" width="9.140625" style="614"/>
    <col min="4377" max="4377" width="12.7109375" style="614" customWidth="1"/>
    <col min="4378" max="4609" width="9.140625" style="614"/>
    <col min="4610" max="4610" width="32.140625" style="614" customWidth="1"/>
    <col min="4611" max="4622" width="0" style="614" hidden="1" customWidth="1"/>
    <col min="4623" max="4623" width="17" style="614" customWidth="1"/>
    <col min="4624" max="4624" width="13.7109375" style="614" customWidth="1"/>
    <col min="4625" max="4625" width="14.28515625" style="614" customWidth="1"/>
    <col min="4626" max="4626" width="8.28515625" style="614" customWidth="1"/>
    <col min="4627" max="4627" width="13.7109375" style="614" customWidth="1"/>
    <col min="4628" max="4628" width="13.85546875" style="614" customWidth="1"/>
    <col min="4629" max="4632" width="9.140625" style="614"/>
    <col min="4633" max="4633" width="12.7109375" style="614" customWidth="1"/>
    <col min="4634" max="4865" width="9.140625" style="614"/>
    <col min="4866" max="4866" width="32.140625" style="614" customWidth="1"/>
    <col min="4867" max="4878" width="0" style="614" hidden="1" customWidth="1"/>
    <col min="4879" max="4879" width="17" style="614" customWidth="1"/>
    <col min="4880" max="4880" width="13.7109375" style="614" customWidth="1"/>
    <col min="4881" max="4881" width="14.28515625" style="614" customWidth="1"/>
    <col min="4882" max="4882" width="8.28515625" style="614" customWidth="1"/>
    <col min="4883" max="4883" width="13.7109375" style="614" customWidth="1"/>
    <col min="4884" max="4884" width="13.85546875" style="614" customWidth="1"/>
    <col min="4885" max="4888" width="9.140625" style="614"/>
    <col min="4889" max="4889" width="12.7109375" style="614" customWidth="1"/>
    <col min="4890" max="5121" width="9.140625" style="614"/>
    <col min="5122" max="5122" width="32.140625" style="614" customWidth="1"/>
    <col min="5123" max="5134" width="0" style="614" hidden="1" customWidth="1"/>
    <col min="5135" max="5135" width="17" style="614" customWidth="1"/>
    <col min="5136" max="5136" width="13.7109375" style="614" customWidth="1"/>
    <col min="5137" max="5137" width="14.28515625" style="614" customWidth="1"/>
    <col min="5138" max="5138" width="8.28515625" style="614" customWidth="1"/>
    <col min="5139" max="5139" width="13.7109375" style="614" customWidth="1"/>
    <col min="5140" max="5140" width="13.85546875" style="614" customWidth="1"/>
    <col min="5141" max="5144" width="9.140625" style="614"/>
    <col min="5145" max="5145" width="12.7109375" style="614" customWidth="1"/>
    <col min="5146" max="5377" width="9.140625" style="614"/>
    <col min="5378" max="5378" width="32.140625" style="614" customWidth="1"/>
    <col min="5379" max="5390" width="0" style="614" hidden="1" customWidth="1"/>
    <col min="5391" max="5391" width="17" style="614" customWidth="1"/>
    <col min="5392" max="5392" width="13.7109375" style="614" customWidth="1"/>
    <col min="5393" max="5393" width="14.28515625" style="614" customWidth="1"/>
    <col min="5394" max="5394" width="8.28515625" style="614" customWidth="1"/>
    <col min="5395" max="5395" width="13.7109375" style="614" customWidth="1"/>
    <col min="5396" max="5396" width="13.85546875" style="614" customWidth="1"/>
    <col min="5397" max="5400" width="9.140625" style="614"/>
    <col min="5401" max="5401" width="12.7109375" style="614" customWidth="1"/>
    <col min="5402" max="5633" width="9.140625" style="614"/>
    <col min="5634" max="5634" width="32.140625" style="614" customWidth="1"/>
    <col min="5635" max="5646" width="0" style="614" hidden="1" customWidth="1"/>
    <col min="5647" max="5647" width="17" style="614" customWidth="1"/>
    <col min="5648" max="5648" width="13.7109375" style="614" customWidth="1"/>
    <col min="5649" max="5649" width="14.28515625" style="614" customWidth="1"/>
    <col min="5650" max="5650" width="8.28515625" style="614" customWidth="1"/>
    <col min="5651" max="5651" width="13.7109375" style="614" customWidth="1"/>
    <col min="5652" max="5652" width="13.85546875" style="614" customWidth="1"/>
    <col min="5653" max="5656" width="9.140625" style="614"/>
    <col min="5657" max="5657" width="12.7109375" style="614" customWidth="1"/>
    <col min="5658" max="5889" width="9.140625" style="614"/>
    <col min="5890" max="5890" width="32.140625" style="614" customWidth="1"/>
    <col min="5891" max="5902" width="0" style="614" hidden="1" customWidth="1"/>
    <col min="5903" max="5903" width="17" style="614" customWidth="1"/>
    <col min="5904" max="5904" width="13.7109375" style="614" customWidth="1"/>
    <col min="5905" max="5905" width="14.28515625" style="614" customWidth="1"/>
    <col min="5906" max="5906" width="8.28515625" style="614" customWidth="1"/>
    <col min="5907" max="5907" width="13.7109375" style="614" customWidth="1"/>
    <col min="5908" max="5908" width="13.85546875" style="614" customWidth="1"/>
    <col min="5909" max="5912" width="9.140625" style="614"/>
    <col min="5913" max="5913" width="12.7109375" style="614" customWidth="1"/>
    <col min="5914" max="6145" width="9.140625" style="614"/>
    <col min="6146" max="6146" width="32.140625" style="614" customWidth="1"/>
    <col min="6147" max="6158" width="0" style="614" hidden="1" customWidth="1"/>
    <col min="6159" max="6159" width="17" style="614" customWidth="1"/>
    <col min="6160" max="6160" width="13.7109375" style="614" customWidth="1"/>
    <col min="6161" max="6161" width="14.28515625" style="614" customWidth="1"/>
    <col min="6162" max="6162" width="8.28515625" style="614" customWidth="1"/>
    <col min="6163" max="6163" width="13.7109375" style="614" customWidth="1"/>
    <col min="6164" max="6164" width="13.85546875" style="614" customWidth="1"/>
    <col min="6165" max="6168" width="9.140625" style="614"/>
    <col min="6169" max="6169" width="12.7109375" style="614" customWidth="1"/>
    <col min="6170" max="6401" width="9.140625" style="614"/>
    <col min="6402" max="6402" width="32.140625" style="614" customWidth="1"/>
    <col min="6403" max="6414" width="0" style="614" hidden="1" customWidth="1"/>
    <col min="6415" max="6415" width="17" style="614" customWidth="1"/>
    <col min="6416" max="6416" width="13.7109375" style="614" customWidth="1"/>
    <col min="6417" max="6417" width="14.28515625" style="614" customWidth="1"/>
    <col min="6418" max="6418" width="8.28515625" style="614" customWidth="1"/>
    <col min="6419" max="6419" width="13.7109375" style="614" customWidth="1"/>
    <col min="6420" max="6420" width="13.85546875" style="614" customWidth="1"/>
    <col min="6421" max="6424" width="9.140625" style="614"/>
    <col min="6425" max="6425" width="12.7109375" style="614" customWidth="1"/>
    <col min="6426" max="6657" width="9.140625" style="614"/>
    <col min="6658" max="6658" width="32.140625" style="614" customWidth="1"/>
    <col min="6659" max="6670" width="0" style="614" hidden="1" customWidth="1"/>
    <col min="6671" max="6671" width="17" style="614" customWidth="1"/>
    <col min="6672" max="6672" width="13.7109375" style="614" customWidth="1"/>
    <col min="6673" max="6673" width="14.28515625" style="614" customWidth="1"/>
    <col min="6674" max="6674" width="8.28515625" style="614" customWidth="1"/>
    <col min="6675" max="6675" width="13.7109375" style="614" customWidth="1"/>
    <col min="6676" max="6676" width="13.85546875" style="614" customWidth="1"/>
    <col min="6677" max="6680" width="9.140625" style="614"/>
    <col min="6681" max="6681" width="12.7109375" style="614" customWidth="1"/>
    <col min="6682" max="6913" width="9.140625" style="614"/>
    <col min="6914" max="6914" width="32.140625" style="614" customWidth="1"/>
    <col min="6915" max="6926" width="0" style="614" hidden="1" customWidth="1"/>
    <col min="6927" max="6927" width="17" style="614" customWidth="1"/>
    <col min="6928" max="6928" width="13.7109375" style="614" customWidth="1"/>
    <col min="6929" max="6929" width="14.28515625" style="614" customWidth="1"/>
    <col min="6930" max="6930" width="8.28515625" style="614" customWidth="1"/>
    <col min="6931" max="6931" width="13.7109375" style="614" customWidth="1"/>
    <col min="6932" max="6932" width="13.85546875" style="614" customWidth="1"/>
    <col min="6933" max="6936" width="9.140625" style="614"/>
    <col min="6937" max="6937" width="12.7109375" style="614" customWidth="1"/>
    <col min="6938" max="7169" width="9.140625" style="614"/>
    <col min="7170" max="7170" width="32.140625" style="614" customWidth="1"/>
    <col min="7171" max="7182" width="0" style="614" hidden="1" customWidth="1"/>
    <col min="7183" max="7183" width="17" style="614" customWidth="1"/>
    <col min="7184" max="7184" width="13.7109375" style="614" customWidth="1"/>
    <col min="7185" max="7185" width="14.28515625" style="614" customWidth="1"/>
    <col min="7186" max="7186" width="8.28515625" style="614" customWidth="1"/>
    <col min="7187" max="7187" width="13.7109375" style="614" customWidth="1"/>
    <col min="7188" max="7188" width="13.85546875" style="614" customWidth="1"/>
    <col min="7189" max="7192" width="9.140625" style="614"/>
    <col min="7193" max="7193" width="12.7109375" style="614" customWidth="1"/>
    <col min="7194" max="7425" width="9.140625" style="614"/>
    <col min="7426" max="7426" width="32.140625" style="614" customWidth="1"/>
    <col min="7427" max="7438" width="0" style="614" hidden="1" customWidth="1"/>
    <col min="7439" max="7439" width="17" style="614" customWidth="1"/>
    <col min="7440" max="7440" width="13.7109375" style="614" customWidth="1"/>
    <col min="7441" max="7441" width="14.28515625" style="614" customWidth="1"/>
    <col min="7442" max="7442" width="8.28515625" style="614" customWidth="1"/>
    <col min="7443" max="7443" width="13.7109375" style="614" customWidth="1"/>
    <col min="7444" max="7444" width="13.85546875" style="614" customWidth="1"/>
    <col min="7445" max="7448" width="9.140625" style="614"/>
    <col min="7449" max="7449" width="12.7109375" style="614" customWidth="1"/>
    <col min="7450" max="7681" width="9.140625" style="614"/>
    <col min="7682" max="7682" width="32.140625" style="614" customWidth="1"/>
    <col min="7683" max="7694" width="0" style="614" hidden="1" customWidth="1"/>
    <col min="7695" max="7695" width="17" style="614" customWidth="1"/>
    <col min="7696" max="7696" width="13.7109375" style="614" customWidth="1"/>
    <col min="7697" max="7697" width="14.28515625" style="614" customWidth="1"/>
    <col min="7698" max="7698" width="8.28515625" style="614" customWidth="1"/>
    <col min="7699" max="7699" width="13.7109375" style="614" customWidth="1"/>
    <col min="7700" max="7700" width="13.85546875" style="614" customWidth="1"/>
    <col min="7701" max="7704" width="9.140625" style="614"/>
    <col min="7705" max="7705" width="12.7109375" style="614" customWidth="1"/>
    <col min="7706" max="7937" width="9.140625" style="614"/>
    <col min="7938" max="7938" width="32.140625" style="614" customWidth="1"/>
    <col min="7939" max="7950" width="0" style="614" hidden="1" customWidth="1"/>
    <col min="7951" max="7951" width="17" style="614" customWidth="1"/>
    <col min="7952" max="7952" width="13.7109375" style="614" customWidth="1"/>
    <col min="7953" max="7953" width="14.28515625" style="614" customWidth="1"/>
    <col min="7954" max="7954" width="8.28515625" style="614" customWidth="1"/>
    <col min="7955" max="7955" width="13.7109375" style="614" customWidth="1"/>
    <col min="7956" max="7956" width="13.85546875" style="614" customWidth="1"/>
    <col min="7957" max="7960" width="9.140625" style="614"/>
    <col min="7961" max="7961" width="12.7109375" style="614" customWidth="1"/>
    <col min="7962" max="8193" width="9.140625" style="614"/>
    <col min="8194" max="8194" width="32.140625" style="614" customWidth="1"/>
    <col min="8195" max="8206" width="0" style="614" hidden="1" customWidth="1"/>
    <col min="8207" max="8207" width="17" style="614" customWidth="1"/>
    <col min="8208" max="8208" width="13.7109375" style="614" customWidth="1"/>
    <col min="8209" max="8209" width="14.28515625" style="614" customWidth="1"/>
    <col min="8210" max="8210" width="8.28515625" style="614" customWidth="1"/>
    <col min="8211" max="8211" width="13.7109375" style="614" customWidth="1"/>
    <col min="8212" max="8212" width="13.85546875" style="614" customWidth="1"/>
    <col min="8213" max="8216" width="9.140625" style="614"/>
    <col min="8217" max="8217" width="12.7109375" style="614" customWidth="1"/>
    <col min="8218" max="8449" width="9.140625" style="614"/>
    <col min="8450" max="8450" width="32.140625" style="614" customWidth="1"/>
    <col min="8451" max="8462" width="0" style="614" hidden="1" customWidth="1"/>
    <col min="8463" max="8463" width="17" style="614" customWidth="1"/>
    <col min="8464" max="8464" width="13.7109375" style="614" customWidth="1"/>
    <col min="8465" max="8465" width="14.28515625" style="614" customWidth="1"/>
    <col min="8466" max="8466" width="8.28515625" style="614" customWidth="1"/>
    <col min="8467" max="8467" width="13.7109375" style="614" customWidth="1"/>
    <col min="8468" max="8468" width="13.85546875" style="614" customWidth="1"/>
    <col min="8469" max="8472" width="9.140625" style="614"/>
    <col min="8473" max="8473" width="12.7109375" style="614" customWidth="1"/>
    <col min="8474" max="8705" width="9.140625" style="614"/>
    <col min="8706" max="8706" width="32.140625" style="614" customWidth="1"/>
    <col min="8707" max="8718" width="0" style="614" hidden="1" customWidth="1"/>
    <col min="8719" max="8719" width="17" style="614" customWidth="1"/>
    <col min="8720" max="8720" width="13.7109375" style="614" customWidth="1"/>
    <col min="8721" max="8721" width="14.28515625" style="614" customWidth="1"/>
    <col min="8722" max="8722" width="8.28515625" style="614" customWidth="1"/>
    <col min="8723" max="8723" width="13.7109375" style="614" customWidth="1"/>
    <col min="8724" max="8724" width="13.85546875" style="614" customWidth="1"/>
    <col min="8725" max="8728" width="9.140625" style="614"/>
    <col min="8729" max="8729" width="12.7109375" style="614" customWidth="1"/>
    <col min="8730" max="8961" width="9.140625" style="614"/>
    <col min="8962" max="8962" width="32.140625" style="614" customWidth="1"/>
    <col min="8963" max="8974" width="0" style="614" hidden="1" customWidth="1"/>
    <col min="8975" max="8975" width="17" style="614" customWidth="1"/>
    <col min="8976" max="8976" width="13.7109375" style="614" customWidth="1"/>
    <col min="8977" max="8977" width="14.28515625" style="614" customWidth="1"/>
    <col min="8978" max="8978" width="8.28515625" style="614" customWidth="1"/>
    <col min="8979" max="8979" width="13.7109375" style="614" customWidth="1"/>
    <col min="8980" max="8980" width="13.85546875" style="614" customWidth="1"/>
    <col min="8981" max="8984" width="9.140625" style="614"/>
    <col min="8985" max="8985" width="12.7109375" style="614" customWidth="1"/>
    <col min="8986" max="9217" width="9.140625" style="614"/>
    <col min="9218" max="9218" width="32.140625" style="614" customWidth="1"/>
    <col min="9219" max="9230" width="0" style="614" hidden="1" customWidth="1"/>
    <col min="9231" max="9231" width="17" style="614" customWidth="1"/>
    <col min="9232" max="9232" width="13.7109375" style="614" customWidth="1"/>
    <col min="9233" max="9233" width="14.28515625" style="614" customWidth="1"/>
    <col min="9234" max="9234" width="8.28515625" style="614" customWidth="1"/>
    <col min="9235" max="9235" width="13.7109375" style="614" customWidth="1"/>
    <col min="9236" max="9236" width="13.85546875" style="614" customWidth="1"/>
    <col min="9237" max="9240" width="9.140625" style="614"/>
    <col min="9241" max="9241" width="12.7109375" style="614" customWidth="1"/>
    <col min="9242" max="9473" width="9.140625" style="614"/>
    <col min="9474" max="9474" width="32.140625" style="614" customWidth="1"/>
    <col min="9475" max="9486" width="0" style="614" hidden="1" customWidth="1"/>
    <col min="9487" max="9487" width="17" style="614" customWidth="1"/>
    <col min="9488" max="9488" width="13.7109375" style="614" customWidth="1"/>
    <col min="9489" max="9489" width="14.28515625" style="614" customWidth="1"/>
    <col min="9490" max="9490" width="8.28515625" style="614" customWidth="1"/>
    <col min="9491" max="9491" width="13.7109375" style="614" customWidth="1"/>
    <col min="9492" max="9492" width="13.85546875" style="614" customWidth="1"/>
    <col min="9493" max="9496" width="9.140625" style="614"/>
    <col min="9497" max="9497" width="12.7109375" style="614" customWidth="1"/>
    <col min="9498" max="9729" width="9.140625" style="614"/>
    <col min="9730" max="9730" width="32.140625" style="614" customWidth="1"/>
    <col min="9731" max="9742" width="0" style="614" hidden="1" customWidth="1"/>
    <col min="9743" max="9743" width="17" style="614" customWidth="1"/>
    <col min="9744" max="9744" width="13.7109375" style="614" customWidth="1"/>
    <col min="9745" max="9745" width="14.28515625" style="614" customWidth="1"/>
    <col min="9746" max="9746" width="8.28515625" style="614" customWidth="1"/>
    <col min="9747" max="9747" width="13.7109375" style="614" customWidth="1"/>
    <col min="9748" max="9748" width="13.85546875" style="614" customWidth="1"/>
    <col min="9749" max="9752" width="9.140625" style="614"/>
    <col min="9753" max="9753" width="12.7109375" style="614" customWidth="1"/>
    <col min="9754" max="9985" width="9.140625" style="614"/>
    <col min="9986" max="9986" width="32.140625" style="614" customWidth="1"/>
    <col min="9987" max="9998" width="0" style="614" hidden="1" customWidth="1"/>
    <col min="9999" max="9999" width="17" style="614" customWidth="1"/>
    <col min="10000" max="10000" width="13.7109375" style="614" customWidth="1"/>
    <col min="10001" max="10001" width="14.28515625" style="614" customWidth="1"/>
    <col min="10002" max="10002" width="8.28515625" style="614" customWidth="1"/>
    <col min="10003" max="10003" width="13.7109375" style="614" customWidth="1"/>
    <col min="10004" max="10004" width="13.85546875" style="614" customWidth="1"/>
    <col min="10005" max="10008" width="9.140625" style="614"/>
    <col min="10009" max="10009" width="12.7109375" style="614" customWidth="1"/>
    <col min="10010" max="10241" width="9.140625" style="614"/>
    <col min="10242" max="10242" width="32.140625" style="614" customWidth="1"/>
    <col min="10243" max="10254" width="0" style="614" hidden="1" customWidth="1"/>
    <col min="10255" max="10255" width="17" style="614" customWidth="1"/>
    <col min="10256" max="10256" width="13.7109375" style="614" customWidth="1"/>
    <col min="10257" max="10257" width="14.28515625" style="614" customWidth="1"/>
    <col min="10258" max="10258" width="8.28515625" style="614" customWidth="1"/>
    <col min="10259" max="10259" width="13.7109375" style="614" customWidth="1"/>
    <col min="10260" max="10260" width="13.85546875" style="614" customWidth="1"/>
    <col min="10261" max="10264" width="9.140625" style="614"/>
    <col min="10265" max="10265" width="12.7109375" style="614" customWidth="1"/>
    <col min="10266" max="10497" width="9.140625" style="614"/>
    <col min="10498" max="10498" width="32.140625" style="614" customWidth="1"/>
    <col min="10499" max="10510" width="0" style="614" hidden="1" customWidth="1"/>
    <col min="10511" max="10511" width="17" style="614" customWidth="1"/>
    <col min="10512" max="10512" width="13.7109375" style="614" customWidth="1"/>
    <col min="10513" max="10513" width="14.28515625" style="614" customWidth="1"/>
    <col min="10514" max="10514" width="8.28515625" style="614" customWidth="1"/>
    <col min="10515" max="10515" width="13.7109375" style="614" customWidth="1"/>
    <col min="10516" max="10516" width="13.85546875" style="614" customWidth="1"/>
    <col min="10517" max="10520" width="9.140625" style="614"/>
    <col min="10521" max="10521" width="12.7109375" style="614" customWidth="1"/>
    <col min="10522" max="10753" width="9.140625" style="614"/>
    <col min="10754" max="10754" width="32.140625" style="614" customWidth="1"/>
    <col min="10755" max="10766" width="0" style="614" hidden="1" customWidth="1"/>
    <col min="10767" max="10767" width="17" style="614" customWidth="1"/>
    <col min="10768" max="10768" width="13.7109375" style="614" customWidth="1"/>
    <col min="10769" max="10769" width="14.28515625" style="614" customWidth="1"/>
    <col min="10770" max="10770" width="8.28515625" style="614" customWidth="1"/>
    <col min="10771" max="10771" width="13.7109375" style="614" customWidth="1"/>
    <col min="10772" max="10772" width="13.85546875" style="614" customWidth="1"/>
    <col min="10773" max="10776" width="9.140625" style="614"/>
    <col min="10777" max="10777" width="12.7109375" style="614" customWidth="1"/>
    <col min="10778" max="11009" width="9.140625" style="614"/>
    <col min="11010" max="11010" width="32.140625" style="614" customWidth="1"/>
    <col min="11011" max="11022" width="0" style="614" hidden="1" customWidth="1"/>
    <col min="11023" max="11023" width="17" style="614" customWidth="1"/>
    <col min="11024" max="11024" width="13.7109375" style="614" customWidth="1"/>
    <col min="11025" max="11025" width="14.28515625" style="614" customWidth="1"/>
    <col min="11026" max="11026" width="8.28515625" style="614" customWidth="1"/>
    <col min="11027" max="11027" width="13.7109375" style="614" customWidth="1"/>
    <col min="11028" max="11028" width="13.85546875" style="614" customWidth="1"/>
    <col min="11029" max="11032" width="9.140625" style="614"/>
    <col min="11033" max="11033" width="12.7109375" style="614" customWidth="1"/>
    <col min="11034" max="11265" width="9.140625" style="614"/>
    <col min="11266" max="11266" width="32.140625" style="614" customWidth="1"/>
    <col min="11267" max="11278" width="0" style="614" hidden="1" customWidth="1"/>
    <col min="11279" max="11279" width="17" style="614" customWidth="1"/>
    <col min="11280" max="11280" width="13.7109375" style="614" customWidth="1"/>
    <col min="11281" max="11281" width="14.28515625" style="614" customWidth="1"/>
    <col min="11282" max="11282" width="8.28515625" style="614" customWidth="1"/>
    <col min="11283" max="11283" width="13.7109375" style="614" customWidth="1"/>
    <col min="11284" max="11284" width="13.85546875" style="614" customWidth="1"/>
    <col min="11285" max="11288" width="9.140625" style="614"/>
    <col min="11289" max="11289" width="12.7109375" style="614" customWidth="1"/>
    <col min="11290" max="11521" width="9.140625" style="614"/>
    <col min="11522" max="11522" width="32.140625" style="614" customWidth="1"/>
    <col min="11523" max="11534" width="0" style="614" hidden="1" customWidth="1"/>
    <col min="11535" max="11535" width="17" style="614" customWidth="1"/>
    <col min="11536" max="11536" width="13.7109375" style="614" customWidth="1"/>
    <col min="11537" max="11537" width="14.28515625" style="614" customWidth="1"/>
    <col min="11538" max="11538" width="8.28515625" style="614" customWidth="1"/>
    <col min="11539" max="11539" width="13.7109375" style="614" customWidth="1"/>
    <col min="11540" max="11540" width="13.85546875" style="614" customWidth="1"/>
    <col min="11541" max="11544" width="9.140625" style="614"/>
    <col min="11545" max="11545" width="12.7109375" style="614" customWidth="1"/>
    <col min="11546" max="11777" width="9.140625" style="614"/>
    <col min="11778" max="11778" width="32.140625" style="614" customWidth="1"/>
    <col min="11779" max="11790" width="0" style="614" hidden="1" customWidth="1"/>
    <col min="11791" max="11791" width="17" style="614" customWidth="1"/>
    <col min="11792" max="11792" width="13.7109375" style="614" customWidth="1"/>
    <col min="11793" max="11793" width="14.28515625" style="614" customWidth="1"/>
    <col min="11794" max="11794" width="8.28515625" style="614" customWidth="1"/>
    <col min="11795" max="11795" width="13.7109375" style="614" customWidth="1"/>
    <col min="11796" max="11796" width="13.85546875" style="614" customWidth="1"/>
    <col min="11797" max="11800" width="9.140625" style="614"/>
    <col min="11801" max="11801" width="12.7109375" style="614" customWidth="1"/>
    <col min="11802" max="12033" width="9.140625" style="614"/>
    <col min="12034" max="12034" width="32.140625" style="614" customWidth="1"/>
    <col min="12035" max="12046" width="0" style="614" hidden="1" customWidth="1"/>
    <col min="12047" max="12047" width="17" style="614" customWidth="1"/>
    <col min="12048" max="12048" width="13.7109375" style="614" customWidth="1"/>
    <col min="12049" max="12049" width="14.28515625" style="614" customWidth="1"/>
    <col min="12050" max="12050" width="8.28515625" style="614" customWidth="1"/>
    <col min="12051" max="12051" width="13.7109375" style="614" customWidth="1"/>
    <col min="12052" max="12052" width="13.85546875" style="614" customWidth="1"/>
    <col min="12053" max="12056" width="9.140625" style="614"/>
    <col min="12057" max="12057" width="12.7109375" style="614" customWidth="1"/>
    <col min="12058" max="12289" width="9.140625" style="614"/>
    <col min="12290" max="12290" width="32.140625" style="614" customWidth="1"/>
    <col min="12291" max="12302" width="0" style="614" hidden="1" customWidth="1"/>
    <col min="12303" max="12303" width="17" style="614" customWidth="1"/>
    <col min="12304" max="12304" width="13.7109375" style="614" customWidth="1"/>
    <col min="12305" max="12305" width="14.28515625" style="614" customWidth="1"/>
    <col min="12306" max="12306" width="8.28515625" style="614" customWidth="1"/>
    <col min="12307" max="12307" width="13.7109375" style="614" customWidth="1"/>
    <col min="12308" max="12308" width="13.85546875" style="614" customWidth="1"/>
    <col min="12309" max="12312" width="9.140625" style="614"/>
    <col min="12313" max="12313" width="12.7109375" style="614" customWidth="1"/>
    <col min="12314" max="12545" width="9.140625" style="614"/>
    <col min="12546" max="12546" width="32.140625" style="614" customWidth="1"/>
    <col min="12547" max="12558" width="0" style="614" hidden="1" customWidth="1"/>
    <col min="12559" max="12559" width="17" style="614" customWidth="1"/>
    <col min="12560" max="12560" width="13.7109375" style="614" customWidth="1"/>
    <col min="12561" max="12561" width="14.28515625" style="614" customWidth="1"/>
    <col min="12562" max="12562" width="8.28515625" style="614" customWidth="1"/>
    <col min="12563" max="12563" width="13.7109375" style="614" customWidth="1"/>
    <col min="12564" max="12564" width="13.85546875" style="614" customWidth="1"/>
    <col min="12565" max="12568" width="9.140625" style="614"/>
    <col min="12569" max="12569" width="12.7109375" style="614" customWidth="1"/>
    <col min="12570" max="12801" width="9.140625" style="614"/>
    <col min="12802" max="12802" width="32.140625" style="614" customWidth="1"/>
    <col min="12803" max="12814" width="0" style="614" hidden="1" customWidth="1"/>
    <col min="12815" max="12815" width="17" style="614" customWidth="1"/>
    <col min="12816" max="12816" width="13.7109375" style="614" customWidth="1"/>
    <col min="12817" max="12817" width="14.28515625" style="614" customWidth="1"/>
    <col min="12818" max="12818" width="8.28515625" style="614" customWidth="1"/>
    <col min="12819" max="12819" width="13.7109375" style="614" customWidth="1"/>
    <col min="12820" max="12820" width="13.85546875" style="614" customWidth="1"/>
    <col min="12821" max="12824" width="9.140625" style="614"/>
    <col min="12825" max="12825" width="12.7109375" style="614" customWidth="1"/>
    <col min="12826" max="13057" width="9.140625" style="614"/>
    <col min="13058" max="13058" width="32.140625" style="614" customWidth="1"/>
    <col min="13059" max="13070" width="0" style="614" hidden="1" customWidth="1"/>
    <col min="13071" max="13071" width="17" style="614" customWidth="1"/>
    <col min="13072" max="13072" width="13.7109375" style="614" customWidth="1"/>
    <col min="13073" max="13073" width="14.28515625" style="614" customWidth="1"/>
    <col min="13074" max="13074" width="8.28515625" style="614" customWidth="1"/>
    <col min="13075" max="13075" width="13.7109375" style="614" customWidth="1"/>
    <col min="13076" max="13076" width="13.85546875" style="614" customWidth="1"/>
    <col min="13077" max="13080" width="9.140625" style="614"/>
    <col min="13081" max="13081" width="12.7109375" style="614" customWidth="1"/>
    <col min="13082" max="13313" width="9.140625" style="614"/>
    <col min="13314" max="13314" width="32.140625" style="614" customWidth="1"/>
    <col min="13315" max="13326" width="0" style="614" hidden="1" customWidth="1"/>
    <col min="13327" max="13327" width="17" style="614" customWidth="1"/>
    <col min="13328" max="13328" width="13.7109375" style="614" customWidth="1"/>
    <col min="13329" max="13329" width="14.28515625" style="614" customWidth="1"/>
    <col min="13330" max="13330" width="8.28515625" style="614" customWidth="1"/>
    <col min="13331" max="13331" width="13.7109375" style="614" customWidth="1"/>
    <col min="13332" max="13332" width="13.85546875" style="614" customWidth="1"/>
    <col min="13333" max="13336" width="9.140625" style="614"/>
    <col min="13337" max="13337" width="12.7109375" style="614" customWidth="1"/>
    <col min="13338" max="13569" width="9.140625" style="614"/>
    <col min="13570" max="13570" width="32.140625" style="614" customWidth="1"/>
    <col min="13571" max="13582" width="0" style="614" hidden="1" customWidth="1"/>
    <col min="13583" max="13583" width="17" style="614" customWidth="1"/>
    <col min="13584" max="13584" width="13.7109375" style="614" customWidth="1"/>
    <col min="13585" max="13585" width="14.28515625" style="614" customWidth="1"/>
    <col min="13586" max="13586" width="8.28515625" style="614" customWidth="1"/>
    <col min="13587" max="13587" width="13.7109375" style="614" customWidth="1"/>
    <col min="13588" max="13588" width="13.85546875" style="614" customWidth="1"/>
    <col min="13589" max="13592" width="9.140625" style="614"/>
    <col min="13593" max="13593" width="12.7109375" style="614" customWidth="1"/>
    <col min="13594" max="13825" width="9.140625" style="614"/>
    <col min="13826" max="13826" width="32.140625" style="614" customWidth="1"/>
    <col min="13827" max="13838" width="0" style="614" hidden="1" customWidth="1"/>
    <col min="13839" max="13839" width="17" style="614" customWidth="1"/>
    <col min="13840" max="13840" width="13.7109375" style="614" customWidth="1"/>
    <col min="13841" max="13841" width="14.28515625" style="614" customWidth="1"/>
    <col min="13842" max="13842" width="8.28515625" style="614" customWidth="1"/>
    <col min="13843" max="13843" width="13.7109375" style="614" customWidth="1"/>
    <col min="13844" max="13844" width="13.85546875" style="614" customWidth="1"/>
    <col min="13845" max="13848" width="9.140625" style="614"/>
    <col min="13849" max="13849" width="12.7109375" style="614" customWidth="1"/>
    <col min="13850" max="14081" width="9.140625" style="614"/>
    <col min="14082" max="14082" width="32.140625" style="614" customWidth="1"/>
    <col min="14083" max="14094" width="0" style="614" hidden="1" customWidth="1"/>
    <col min="14095" max="14095" width="17" style="614" customWidth="1"/>
    <col min="14096" max="14096" width="13.7109375" style="614" customWidth="1"/>
    <col min="14097" max="14097" width="14.28515625" style="614" customWidth="1"/>
    <col min="14098" max="14098" width="8.28515625" style="614" customWidth="1"/>
    <col min="14099" max="14099" width="13.7109375" style="614" customWidth="1"/>
    <col min="14100" max="14100" width="13.85546875" style="614" customWidth="1"/>
    <col min="14101" max="14104" width="9.140625" style="614"/>
    <col min="14105" max="14105" width="12.7109375" style="614" customWidth="1"/>
    <col min="14106" max="14337" width="9.140625" style="614"/>
    <col min="14338" max="14338" width="32.140625" style="614" customWidth="1"/>
    <col min="14339" max="14350" width="0" style="614" hidden="1" customWidth="1"/>
    <col min="14351" max="14351" width="17" style="614" customWidth="1"/>
    <col min="14352" max="14352" width="13.7109375" style="614" customWidth="1"/>
    <col min="14353" max="14353" width="14.28515625" style="614" customWidth="1"/>
    <col min="14354" max="14354" width="8.28515625" style="614" customWidth="1"/>
    <col min="14355" max="14355" width="13.7109375" style="614" customWidth="1"/>
    <col min="14356" max="14356" width="13.85546875" style="614" customWidth="1"/>
    <col min="14357" max="14360" width="9.140625" style="614"/>
    <col min="14361" max="14361" width="12.7109375" style="614" customWidth="1"/>
    <col min="14362" max="14593" width="9.140625" style="614"/>
    <col min="14594" max="14594" width="32.140625" style="614" customWidth="1"/>
    <col min="14595" max="14606" width="0" style="614" hidden="1" customWidth="1"/>
    <col min="14607" max="14607" width="17" style="614" customWidth="1"/>
    <col min="14608" max="14608" width="13.7109375" style="614" customWidth="1"/>
    <col min="14609" max="14609" width="14.28515625" style="614" customWidth="1"/>
    <col min="14610" max="14610" width="8.28515625" style="614" customWidth="1"/>
    <col min="14611" max="14611" width="13.7109375" style="614" customWidth="1"/>
    <col min="14612" max="14612" width="13.85546875" style="614" customWidth="1"/>
    <col min="14613" max="14616" width="9.140625" style="614"/>
    <col min="14617" max="14617" width="12.7109375" style="614" customWidth="1"/>
    <col min="14618" max="14849" width="9.140625" style="614"/>
    <col min="14850" max="14850" width="32.140625" style="614" customWidth="1"/>
    <col min="14851" max="14862" width="0" style="614" hidden="1" customWidth="1"/>
    <col min="14863" max="14863" width="17" style="614" customWidth="1"/>
    <col min="14864" max="14864" width="13.7109375" style="614" customWidth="1"/>
    <col min="14865" max="14865" width="14.28515625" style="614" customWidth="1"/>
    <col min="14866" max="14866" width="8.28515625" style="614" customWidth="1"/>
    <col min="14867" max="14867" width="13.7109375" style="614" customWidth="1"/>
    <col min="14868" max="14868" width="13.85546875" style="614" customWidth="1"/>
    <col min="14869" max="14872" width="9.140625" style="614"/>
    <col min="14873" max="14873" width="12.7109375" style="614" customWidth="1"/>
    <col min="14874" max="15105" width="9.140625" style="614"/>
    <col min="15106" max="15106" width="32.140625" style="614" customWidth="1"/>
    <col min="15107" max="15118" width="0" style="614" hidden="1" customWidth="1"/>
    <col min="15119" max="15119" width="17" style="614" customWidth="1"/>
    <col min="15120" max="15120" width="13.7109375" style="614" customWidth="1"/>
    <col min="15121" max="15121" width="14.28515625" style="614" customWidth="1"/>
    <col min="15122" max="15122" width="8.28515625" style="614" customWidth="1"/>
    <col min="15123" max="15123" width="13.7109375" style="614" customWidth="1"/>
    <col min="15124" max="15124" width="13.85546875" style="614" customWidth="1"/>
    <col min="15125" max="15128" width="9.140625" style="614"/>
    <col min="15129" max="15129" width="12.7109375" style="614" customWidth="1"/>
    <col min="15130" max="15361" width="9.140625" style="614"/>
    <col min="15362" max="15362" width="32.140625" style="614" customWidth="1"/>
    <col min="15363" max="15374" width="0" style="614" hidden="1" customWidth="1"/>
    <col min="15375" max="15375" width="17" style="614" customWidth="1"/>
    <col min="15376" max="15376" width="13.7109375" style="614" customWidth="1"/>
    <col min="15377" max="15377" width="14.28515625" style="614" customWidth="1"/>
    <col min="15378" max="15378" width="8.28515625" style="614" customWidth="1"/>
    <col min="15379" max="15379" width="13.7109375" style="614" customWidth="1"/>
    <col min="15380" max="15380" width="13.85546875" style="614" customWidth="1"/>
    <col min="15381" max="15384" width="9.140625" style="614"/>
    <col min="15385" max="15385" width="12.7109375" style="614" customWidth="1"/>
    <col min="15386" max="15617" width="9.140625" style="614"/>
    <col min="15618" max="15618" width="32.140625" style="614" customWidth="1"/>
    <col min="15619" max="15630" width="0" style="614" hidden="1" customWidth="1"/>
    <col min="15631" max="15631" width="17" style="614" customWidth="1"/>
    <col min="15632" max="15632" width="13.7109375" style="614" customWidth="1"/>
    <col min="15633" max="15633" width="14.28515625" style="614" customWidth="1"/>
    <col min="15634" max="15634" width="8.28515625" style="614" customWidth="1"/>
    <col min="15635" max="15635" width="13.7109375" style="614" customWidth="1"/>
    <col min="15636" max="15636" width="13.85546875" style="614" customWidth="1"/>
    <col min="15637" max="15640" width="9.140625" style="614"/>
    <col min="15641" max="15641" width="12.7109375" style="614" customWidth="1"/>
    <col min="15642" max="15873" width="9.140625" style="614"/>
    <col min="15874" max="15874" width="32.140625" style="614" customWidth="1"/>
    <col min="15875" max="15886" width="0" style="614" hidden="1" customWidth="1"/>
    <col min="15887" max="15887" width="17" style="614" customWidth="1"/>
    <col min="15888" max="15888" width="13.7109375" style="614" customWidth="1"/>
    <col min="15889" max="15889" width="14.28515625" style="614" customWidth="1"/>
    <col min="15890" max="15890" width="8.28515625" style="614" customWidth="1"/>
    <col min="15891" max="15891" width="13.7109375" style="614" customWidth="1"/>
    <col min="15892" max="15892" width="13.85546875" style="614" customWidth="1"/>
    <col min="15893" max="15896" width="9.140625" style="614"/>
    <col min="15897" max="15897" width="12.7109375" style="614" customWidth="1"/>
    <col min="15898" max="16129" width="9.140625" style="614"/>
    <col min="16130" max="16130" width="32.140625" style="614" customWidth="1"/>
    <col min="16131" max="16142" width="0" style="614" hidden="1" customWidth="1"/>
    <col min="16143" max="16143" width="17" style="614" customWidth="1"/>
    <col min="16144" max="16144" width="13.7109375" style="614" customWidth="1"/>
    <col min="16145" max="16145" width="14.28515625" style="614" customWidth="1"/>
    <col min="16146" max="16146" width="8.28515625" style="614" customWidth="1"/>
    <col min="16147" max="16147" width="13.7109375" style="614" customWidth="1"/>
    <col min="16148" max="16148" width="13.85546875" style="614" customWidth="1"/>
    <col min="16149" max="16152" width="9.140625" style="614"/>
    <col min="16153" max="16153" width="12.7109375" style="614" customWidth="1"/>
    <col min="16154" max="16384" width="9.140625" style="614"/>
  </cols>
  <sheetData>
    <row r="1" spans="1:28" x14ac:dyDescent="0.2">
      <c r="A1" s="783" t="s">
        <v>436</v>
      </c>
      <c r="B1" s="783"/>
      <c r="C1" s="783"/>
    </row>
    <row r="2" spans="1:28" ht="13.5" thickBot="1" x14ac:dyDescent="0.25">
      <c r="A2" s="784" t="s">
        <v>437</v>
      </c>
      <c r="B2" s="784"/>
      <c r="C2" s="784"/>
    </row>
    <row r="3" spans="1:28" ht="16.5" customHeight="1" thickTop="1" x14ac:dyDescent="0.2">
      <c r="A3" s="747" t="s">
        <v>0</v>
      </c>
      <c r="B3" s="749" t="s">
        <v>1</v>
      </c>
      <c r="C3" s="751" t="s">
        <v>2</v>
      </c>
      <c r="D3" s="751" t="s">
        <v>3</v>
      </c>
      <c r="E3" s="751" t="s">
        <v>4</v>
      </c>
      <c r="F3" s="751" t="s">
        <v>5</v>
      </c>
      <c r="G3" s="751" t="s">
        <v>6</v>
      </c>
      <c r="H3" s="751" t="s">
        <v>7</v>
      </c>
      <c r="I3" s="751" t="s">
        <v>8</v>
      </c>
      <c r="J3" s="751" t="s">
        <v>9</v>
      </c>
      <c r="K3" s="751" t="s">
        <v>10</v>
      </c>
      <c r="L3" s="751" t="s">
        <v>11</v>
      </c>
      <c r="M3" s="751" t="s">
        <v>12</v>
      </c>
      <c r="N3" s="751" t="s">
        <v>13</v>
      </c>
      <c r="O3" s="751" t="s">
        <v>14</v>
      </c>
      <c r="P3" s="751" t="s">
        <v>15</v>
      </c>
      <c r="Q3" s="751" t="s">
        <v>16</v>
      </c>
      <c r="R3" s="753" t="s">
        <v>17</v>
      </c>
      <c r="S3" s="791" t="s">
        <v>18</v>
      </c>
      <c r="T3" s="785" t="s">
        <v>426</v>
      </c>
      <c r="U3" s="787" t="s">
        <v>427</v>
      </c>
    </row>
    <row r="4" spans="1:28" ht="26.25" customHeight="1" thickBot="1" x14ac:dyDescent="0.25">
      <c r="A4" s="748"/>
      <c r="B4" s="750"/>
      <c r="C4" s="752"/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4"/>
      <c r="S4" s="792"/>
      <c r="T4" s="786"/>
      <c r="U4" s="788"/>
    </row>
    <row r="5" spans="1:28" ht="17.25" thickTop="1" thickBot="1" x14ac:dyDescent="0.3">
      <c r="A5" s="1">
        <v>100</v>
      </c>
      <c r="B5" s="793" t="s">
        <v>19</v>
      </c>
      <c r="C5" s="794"/>
      <c r="D5" s="2">
        <f t="shared" ref="D5:T5" si="0">D6+D12+D17</f>
        <v>4005975</v>
      </c>
      <c r="E5" s="2">
        <f t="shared" si="0"/>
        <v>4409049</v>
      </c>
      <c r="F5" s="2">
        <f t="shared" si="0"/>
        <v>5183529</v>
      </c>
      <c r="G5" s="2">
        <f t="shared" si="0"/>
        <v>5169506</v>
      </c>
      <c r="H5" s="2">
        <f t="shared" si="0"/>
        <v>4342169</v>
      </c>
      <c r="I5" s="2">
        <f t="shared" si="0"/>
        <v>4854565</v>
      </c>
      <c r="J5" s="2">
        <f t="shared" si="0"/>
        <v>5209041</v>
      </c>
      <c r="K5" s="2">
        <f t="shared" si="0"/>
        <v>4997011</v>
      </c>
      <c r="L5" s="2">
        <f t="shared" si="0"/>
        <v>5140983.68</v>
      </c>
      <c r="M5" s="3">
        <f t="shared" si="0"/>
        <v>5807550.21</v>
      </c>
      <c r="N5" s="2">
        <f>N6+N12+N17</f>
        <v>6453363.5500000007</v>
      </c>
      <c r="O5" s="3">
        <f>O6+O12+O17</f>
        <v>6809462.0100000007</v>
      </c>
      <c r="P5" s="3">
        <f>P6+P12+P17</f>
        <v>7281076.1700000009</v>
      </c>
      <c r="Q5" s="2">
        <f>Q6+Q12+Q17</f>
        <v>7953263</v>
      </c>
      <c r="R5" s="4">
        <f>R6+R12+R17</f>
        <v>8115876</v>
      </c>
      <c r="S5" s="5">
        <f>IF(Q5=0,0,R5/Q5)</f>
        <v>1.0204460735172469</v>
      </c>
      <c r="T5" s="4">
        <f t="shared" si="0"/>
        <v>8276935</v>
      </c>
      <c r="U5" s="615">
        <f>U6+U12+U17</f>
        <v>8460950</v>
      </c>
    </row>
    <row r="6" spans="1:28" ht="15.75" thickBot="1" x14ac:dyDescent="0.3">
      <c r="A6" s="6">
        <v>110</v>
      </c>
      <c r="B6" s="760" t="s">
        <v>20</v>
      </c>
      <c r="C6" s="761"/>
      <c r="D6" s="7">
        <f>D7</f>
        <v>3340935</v>
      </c>
      <c r="E6" s="7">
        <f>E7</f>
        <v>3718815</v>
      </c>
      <c r="F6" s="7">
        <f>F7</f>
        <v>4552845</v>
      </c>
      <c r="G6" s="7">
        <f>G7</f>
        <v>4537123</v>
      </c>
      <c r="H6" s="7">
        <f>H7</f>
        <v>3726916</v>
      </c>
      <c r="I6" s="7">
        <f t="shared" ref="I6:T6" si="1">I7</f>
        <v>4195159</v>
      </c>
      <c r="J6" s="7">
        <f t="shared" si="1"/>
        <v>4432132</v>
      </c>
      <c r="K6" s="7">
        <f t="shared" si="1"/>
        <v>4175784</v>
      </c>
      <c r="L6" s="7">
        <f t="shared" si="1"/>
        <v>4401458.42</v>
      </c>
      <c r="M6" s="8">
        <f t="shared" si="1"/>
        <v>5016805.0999999996</v>
      </c>
      <c r="N6" s="7">
        <f t="shared" si="1"/>
        <v>5542925.6600000001</v>
      </c>
      <c r="O6" s="8">
        <f t="shared" si="1"/>
        <v>5877883.0300000003</v>
      </c>
      <c r="P6" s="8">
        <f t="shared" si="1"/>
        <v>6368965.2300000004</v>
      </c>
      <c r="Q6" s="7">
        <f t="shared" si="1"/>
        <v>7054773</v>
      </c>
      <c r="R6" s="9">
        <f>R7</f>
        <v>7082426</v>
      </c>
      <c r="S6" s="10">
        <f>IF(Q6=0,0,R6/Q6)</f>
        <v>1.0039197575882315</v>
      </c>
      <c r="T6" s="9">
        <f t="shared" si="1"/>
        <v>7243485</v>
      </c>
      <c r="U6" s="617">
        <f>U7</f>
        <v>7427500</v>
      </c>
      <c r="X6" s="618"/>
    </row>
    <row r="7" spans="1:28" ht="15.75" thickBot="1" x14ac:dyDescent="0.3">
      <c r="A7" s="795"/>
      <c r="B7" s="798"/>
      <c r="C7" s="11" t="s">
        <v>21</v>
      </c>
      <c r="D7" s="12">
        <v>3340935</v>
      </c>
      <c r="E7" s="12">
        <v>3718815</v>
      </c>
      <c r="F7" s="12">
        <v>4552845</v>
      </c>
      <c r="G7" s="12">
        <v>4537123</v>
      </c>
      <c r="H7" s="12">
        <v>3726916</v>
      </c>
      <c r="I7" s="13">
        <v>4195159</v>
      </c>
      <c r="J7" s="13">
        <v>4432132</v>
      </c>
      <c r="K7" s="14">
        <v>4175784</v>
      </c>
      <c r="L7" s="14">
        <v>4401458.42</v>
      </c>
      <c r="M7" s="15">
        <v>5016805.0999999996</v>
      </c>
      <c r="N7" s="16">
        <v>5542925.6600000001</v>
      </c>
      <c r="O7" s="15">
        <v>5877883.0300000003</v>
      </c>
      <c r="P7" s="15">
        <v>6368965.2300000004</v>
      </c>
      <c r="Q7" s="16">
        <v>7054773</v>
      </c>
      <c r="R7" s="16">
        <f>7054773+63610+25123+35000+3477+422-100000+21</f>
        <v>7082426</v>
      </c>
      <c r="S7" s="10">
        <f>IF(Q7=0,0,R7/Q7)</f>
        <v>1.0039197575882315</v>
      </c>
      <c r="T7" s="619">
        <f>R7+161220-161</f>
        <v>7243485</v>
      </c>
      <c r="U7" s="620">
        <f>T7+184015</f>
        <v>7427500</v>
      </c>
      <c r="W7" s="616"/>
      <c r="X7" s="616"/>
      <c r="Z7" s="616"/>
      <c r="AB7" s="616"/>
    </row>
    <row r="8" spans="1:28" ht="13.5" hidden="1" thickBot="1" x14ac:dyDescent="0.25">
      <c r="A8" s="796"/>
      <c r="B8" s="799"/>
      <c r="C8" s="17" t="s">
        <v>22</v>
      </c>
      <c r="D8" s="17"/>
      <c r="E8" s="17"/>
      <c r="F8" s="17"/>
      <c r="G8" s="17"/>
      <c r="H8" s="17"/>
      <c r="I8" s="18"/>
      <c r="J8" s="18"/>
      <c r="K8" s="19"/>
      <c r="L8" s="19"/>
      <c r="M8" s="20"/>
      <c r="N8" s="21"/>
      <c r="O8" s="21"/>
      <c r="P8" s="21"/>
      <c r="Q8" s="21"/>
      <c r="R8" s="21"/>
      <c r="S8" s="22">
        <f t="shared" ref="S8:S71" si="2">IF(Q8=0,0,R8/Q8)</f>
        <v>0</v>
      </c>
      <c r="T8" s="621"/>
      <c r="U8" s="622"/>
    </row>
    <row r="9" spans="1:28" ht="13.5" hidden="1" thickBot="1" x14ac:dyDescent="0.25">
      <c r="A9" s="796"/>
      <c r="B9" s="799"/>
      <c r="C9" s="23" t="s">
        <v>23</v>
      </c>
      <c r="D9" s="23"/>
      <c r="E9" s="23"/>
      <c r="F9" s="23"/>
      <c r="G9" s="23"/>
      <c r="H9" s="23"/>
      <c r="I9" s="24"/>
      <c r="J9" s="24"/>
      <c r="K9" s="25"/>
      <c r="L9" s="25"/>
      <c r="M9" s="26"/>
      <c r="N9" s="27"/>
      <c r="O9" s="27"/>
      <c r="P9" s="27"/>
      <c r="Q9" s="27"/>
      <c r="R9" s="27"/>
      <c r="S9" s="28">
        <f t="shared" si="2"/>
        <v>0</v>
      </c>
      <c r="T9" s="623"/>
      <c r="U9" s="624"/>
      <c r="V9" s="616"/>
    </row>
    <row r="10" spans="1:28" ht="13.5" hidden="1" thickBot="1" x14ac:dyDescent="0.25">
      <c r="A10" s="796"/>
      <c r="B10" s="799"/>
      <c r="C10" s="23" t="s">
        <v>24</v>
      </c>
      <c r="D10" s="23"/>
      <c r="E10" s="23"/>
      <c r="F10" s="23"/>
      <c r="G10" s="23"/>
      <c r="H10" s="23"/>
      <c r="I10" s="24"/>
      <c r="J10" s="24"/>
      <c r="K10" s="25"/>
      <c r="L10" s="25"/>
      <c r="M10" s="26"/>
      <c r="N10" s="27"/>
      <c r="O10" s="27"/>
      <c r="P10" s="27"/>
      <c r="Q10" s="27"/>
      <c r="R10" s="27"/>
      <c r="S10" s="28">
        <f t="shared" si="2"/>
        <v>0</v>
      </c>
      <c r="T10" s="623"/>
      <c r="U10" s="624"/>
    </row>
    <row r="11" spans="1:28" ht="13.5" hidden="1" thickBot="1" x14ac:dyDescent="0.25">
      <c r="A11" s="797"/>
      <c r="B11" s="800"/>
      <c r="C11" s="29" t="s">
        <v>25</v>
      </c>
      <c r="D11" s="29"/>
      <c r="E11" s="29"/>
      <c r="F11" s="29"/>
      <c r="G11" s="29"/>
      <c r="H11" s="29"/>
      <c r="I11" s="30"/>
      <c r="J11" s="30"/>
      <c r="K11" s="31"/>
      <c r="L11" s="31"/>
      <c r="M11" s="32"/>
      <c r="N11" s="33"/>
      <c r="O11" s="33"/>
      <c r="P11" s="33"/>
      <c r="Q11" s="33"/>
      <c r="R11" s="33"/>
      <c r="S11" s="34">
        <f t="shared" si="2"/>
        <v>0</v>
      </c>
      <c r="T11" s="625"/>
      <c r="U11" s="626"/>
    </row>
    <row r="12" spans="1:28" ht="15.75" thickBot="1" x14ac:dyDescent="0.3">
      <c r="A12" s="35">
        <v>120</v>
      </c>
      <c r="B12" s="774" t="s">
        <v>26</v>
      </c>
      <c r="C12" s="775"/>
      <c r="D12" s="36">
        <f>D13</f>
        <v>295824</v>
      </c>
      <c r="E12" s="36">
        <f>E13</f>
        <v>311093</v>
      </c>
      <c r="F12" s="36">
        <f>F13</f>
        <v>361216</v>
      </c>
      <c r="G12" s="36">
        <f>G13</f>
        <v>341843</v>
      </c>
      <c r="H12" s="36">
        <v>316587</v>
      </c>
      <c r="I12" s="36">
        <f t="shared" ref="I12:U12" si="3">I13</f>
        <v>360438</v>
      </c>
      <c r="J12" s="36">
        <f t="shared" si="3"/>
        <v>460690</v>
      </c>
      <c r="K12" s="36">
        <f t="shared" si="3"/>
        <v>388905</v>
      </c>
      <c r="L12" s="36">
        <f t="shared" si="3"/>
        <v>335641.24</v>
      </c>
      <c r="M12" s="37">
        <f t="shared" si="3"/>
        <v>396789.44</v>
      </c>
      <c r="N12" s="36">
        <f t="shared" si="3"/>
        <v>470206.4</v>
      </c>
      <c r="O12" s="37">
        <f t="shared" si="3"/>
        <v>490398.24</v>
      </c>
      <c r="P12" s="37">
        <f t="shared" si="3"/>
        <v>477910.94</v>
      </c>
      <c r="Q12" s="38">
        <f t="shared" si="3"/>
        <v>468000</v>
      </c>
      <c r="R12" s="38">
        <f t="shared" si="3"/>
        <v>545000</v>
      </c>
      <c r="S12" s="10">
        <f t="shared" si="2"/>
        <v>1.1645299145299146</v>
      </c>
      <c r="T12" s="38">
        <f t="shared" si="3"/>
        <v>545000</v>
      </c>
      <c r="U12" s="627">
        <f t="shared" si="3"/>
        <v>545000</v>
      </c>
    </row>
    <row r="13" spans="1:28" ht="13.5" thickBot="1" x14ac:dyDescent="0.25">
      <c r="A13" s="778"/>
      <c r="B13" s="39">
        <v>121</v>
      </c>
      <c r="C13" s="40" t="s">
        <v>27</v>
      </c>
      <c r="D13" s="40">
        <v>295824</v>
      </c>
      <c r="E13" s="40">
        <v>311093</v>
      </c>
      <c r="F13" s="40">
        <v>361216</v>
      </c>
      <c r="G13" s="40">
        <v>341843</v>
      </c>
      <c r="H13" s="40">
        <v>316587</v>
      </c>
      <c r="I13" s="41">
        <f t="shared" ref="I13:R13" si="4">SUM(I14:I16)</f>
        <v>360438</v>
      </c>
      <c r="J13" s="41">
        <f t="shared" si="4"/>
        <v>460690</v>
      </c>
      <c r="K13" s="41">
        <f t="shared" si="4"/>
        <v>388905</v>
      </c>
      <c r="L13" s="41">
        <f t="shared" si="4"/>
        <v>335641.24</v>
      </c>
      <c r="M13" s="42">
        <f t="shared" si="4"/>
        <v>396789.44</v>
      </c>
      <c r="N13" s="41">
        <f>SUM(N14:N16)</f>
        <v>470206.4</v>
      </c>
      <c r="O13" s="42">
        <f>SUM(O14:O16)</f>
        <v>490398.24</v>
      </c>
      <c r="P13" s="42">
        <f>SUM(P14:P16)</f>
        <v>477910.94</v>
      </c>
      <c r="Q13" s="43">
        <f>SUM(Q14:Q16)</f>
        <v>468000</v>
      </c>
      <c r="R13" s="43">
        <f t="shared" si="4"/>
        <v>545000</v>
      </c>
      <c r="S13" s="44">
        <f t="shared" si="2"/>
        <v>1.1645299145299146</v>
      </c>
      <c r="T13" s="43">
        <f>SUM(T14:T16)</f>
        <v>545000</v>
      </c>
      <c r="U13" s="628">
        <f>SUM(U14:U16)</f>
        <v>545000</v>
      </c>
    </row>
    <row r="14" spans="1:28" x14ac:dyDescent="0.2">
      <c r="A14" s="779"/>
      <c r="B14" s="764"/>
      <c r="C14" s="45" t="s">
        <v>28</v>
      </c>
      <c r="D14" s="46"/>
      <c r="E14" s="46"/>
      <c r="F14" s="46"/>
      <c r="G14" s="46"/>
      <c r="H14" s="46">
        <v>51780</v>
      </c>
      <c r="I14" s="46">
        <v>67186</v>
      </c>
      <c r="J14" s="47">
        <v>71840</v>
      </c>
      <c r="K14" s="47">
        <v>90890</v>
      </c>
      <c r="L14" s="47">
        <v>64647.11</v>
      </c>
      <c r="M14" s="48">
        <v>92446.080000000002</v>
      </c>
      <c r="N14" s="49">
        <v>110741.25</v>
      </c>
      <c r="O14" s="48">
        <v>490398.24</v>
      </c>
      <c r="P14" s="48">
        <v>113964.55</v>
      </c>
      <c r="Q14" s="49">
        <v>110000</v>
      </c>
      <c r="R14" s="49">
        <v>140000</v>
      </c>
      <c r="S14" s="22">
        <f t="shared" si="2"/>
        <v>1.2727272727272727</v>
      </c>
      <c r="T14" s="621">
        <f>R14</f>
        <v>140000</v>
      </c>
      <c r="U14" s="622">
        <f>T14</f>
        <v>140000</v>
      </c>
    </row>
    <row r="15" spans="1:28" x14ac:dyDescent="0.2">
      <c r="A15" s="779"/>
      <c r="B15" s="765"/>
      <c r="C15" s="23" t="s">
        <v>29</v>
      </c>
      <c r="D15" s="23"/>
      <c r="E15" s="23"/>
      <c r="F15" s="23"/>
      <c r="G15" s="23"/>
      <c r="H15" s="23">
        <v>234536</v>
      </c>
      <c r="I15" s="23">
        <v>264067</v>
      </c>
      <c r="J15" s="25">
        <v>359760</v>
      </c>
      <c r="K15" s="25">
        <v>267120</v>
      </c>
      <c r="L15" s="25">
        <v>239509.09</v>
      </c>
      <c r="M15" s="26">
        <v>271513.31</v>
      </c>
      <c r="N15" s="27">
        <v>321276.38</v>
      </c>
      <c r="O15" s="27"/>
      <c r="P15" s="27">
        <v>324799.75</v>
      </c>
      <c r="Q15" s="27">
        <v>320000</v>
      </c>
      <c r="R15" s="27">
        <v>360000</v>
      </c>
      <c r="S15" s="28">
        <f t="shared" si="2"/>
        <v>1.125</v>
      </c>
      <c r="T15" s="623">
        <f>R15</f>
        <v>360000</v>
      </c>
      <c r="U15" s="624">
        <f>T15</f>
        <v>360000</v>
      </c>
    </row>
    <row r="16" spans="1:28" ht="13.5" thickBot="1" x14ac:dyDescent="0.25">
      <c r="A16" s="780"/>
      <c r="B16" s="766"/>
      <c r="C16" s="29" t="s">
        <v>30</v>
      </c>
      <c r="D16" s="29"/>
      <c r="E16" s="29"/>
      <c r="F16" s="29"/>
      <c r="G16" s="29"/>
      <c r="H16" s="29">
        <v>30271</v>
      </c>
      <c r="I16" s="29">
        <v>29185</v>
      </c>
      <c r="J16" s="50">
        <v>29090</v>
      </c>
      <c r="K16" s="50">
        <v>30895</v>
      </c>
      <c r="L16" s="50">
        <v>31485.040000000001</v>
      </c>
      <c r="M16" s="51">
        <v>32830.050000000003</v>
      </c>
      <c r="N16" s="52">
        <v>38188.769999999997</v>
      </c>
      <c r="O16" s="52"/>
      <c r="P16" s="52">
        <v>39146.639999999999</v>
      </c>
      <c r="Q16" s="52">
        <v>38000</v>
      </c>
      <c r="R16" s="52">
        <v>45000</v>
      </c>
      <c r="S16" s="34">
        <f t="shared" si="2"/>
        <v>1.1842105263157894</v>
      </c>
      <c r="T16" s="625">
        <f>R16</f>
        <v>45000</v>
      </c>
      <c r="U16" s="626">
        <f>T16</f>
        <v>45000</v>
      </c>
    </row>
    <row r="17" spans="1:23" ht="15.75" thickBot="1" x14ac:dyDescent="0.3">
      <c r="A17" s="35">
        <v>130</v>
      </c>
      <c r="B17" s="774" t="s">
        <v>31</v>
      </c>
      <c r="C17" s="775"/>
      <c r="D17" s="36">
        <f>D18</f>
        <v>369216</v>
      </c>
      <c r="E17" s="36">
        <f>E18</f>
        <v>379141</v>
      </c>
      <c r="F17" s="36">
        <f>F18</f>
        <v>269468</v>
      </c>
      <c r="G17" s="36">
        <f>G18</f>
        <v>290540</v>
      </c>
      <c r="H17" s="36">
        <f>H18</f>
        <v>298666</v>
      </c>
      <c r="I17" s="36">
        <f t="shared" ref="I17:U17" si="5">I18</f>
        <v>298968</v>
      </c>
      <c r="J17" s="36">
        <f t="shared" si="5"/>
        <v>316219</v>
      </c>
      <c r="K17" s="36">
        <f t="shared" si="5"/>
        <v>432322</v>
      </c>
      <c r="L17" s="36">
        <f t="shared" si="5"/>
        <v>403884.02</v>
      </c>
      <c r="M17" s="37">
        <f t="shared" si="5"/>
        <v>393955.67</v>
      </c>
      <c r="N17" s="36">
        <f t="shared" si="5"/>
        <v>440231.49</v>
      </c>
      <c r="O17" s="37">
        <f t="shared" si="5"/>
        <v>441180.74</v>
      </c>
      <c r="P17" s="38">
        <f t="shared" si="5"/>
        <v>434200</v>
      </c>
      <c r="Q17" s="38">
        <f t="shared" si="5"/>
        <v>430490</v>
      </c>
      <c r="R17" s="38">
        <f t="shared" si="5"/>
        <v>488450</v>
      </c>
      <c r="S17" s="10">
        <f t="shared" si="2"/>
        <v>1.1346372738042696</v>
      </c>
      <c r="T17" s="38">
        <f t="shared" si="5"/>
        <v>488450</v>
      </c>
      <c r="U17" s="627">
        <f t="shared" si="5"/>
        <v>488450</v>
      </c>
    </row>
    <row r="18" spans="1:23" ht="13.5" thickBot="1" x14ac:dyDescent="0.25">
      <c r="A18" s="755"/>
      <c r="B18" s="53">
        <v>133</v>
      </c>
      <c r="C18" s="54" t="s">
        <v>32</v>
      </c>
      <c r="D18" s="55">
        <v>369216</v>
      </c>
      <c r="E18" s="55">
        <v>379141</v>
      </c>
      <c r="F18" s="55">
        <v>269468</v>
      </c>
      <c r="G18" s="55">
        <v>290540</v>
      </c>
      <c r="H18" s="56">
        <f t="shared" ref="H18:M18" si="6">SUM(H19:H25)</f>
        <v>298666</v>
      </c>
      <c r="I18" s="56">
        <f t="shared" si="6"/>
        <v>298968</v>
      </c>
      <c r="J18" s="57">
        <f t="shared" si="6"/>
        <v>316219</v>
      </c>
      <c r="K18" s="57">
        <f t="shared" si="6"/>
        <v>432322</v>
      </c>
      <c r="L18" s="57">
        <f>SUM(L19:L25)</f>
        <v>403884.02</v>
      </c>
      <c r="M18" s="58">
        <f t="shared" si="6"/>
        <v>393955.67</v>
      </c>
      <c r="N18" s="57">
        <f>SUM(N19:N25)</f>
        <v>440231.49</v>
      </c>
      <c r="O18" s="58">
        <f>SUM(O19:O25)</f>
        <v>441180.74</v>
      </c>
      <c r="P18" s="59">
        <f>SUM(P19:P25)</f>
        <v>434200</v>
      </c>
      <c r="Q18" s="59">
        <f>SUM(Q19:Q25)</f>
        <v>430490</v>
      </c>
      <c r="R18" s="59">
        <f>SUM(R19:R25)</f>
        <v>488450</v>
      </c>
      <c r="S18" s="10">
        <f t="shared" si="2"/>
        <v>1.1346372738042696</v>
      </c>
      <c r="T18" s="59">
        <f>SUM(T19:T25)</f>
        <v>488450</v>
      </c>
      <c r="U18" s="629">
        <f>SUM(U19:U25)</f>
        <v>488450</v>
      </c>
    </row>
    <row r="19" spans="1:23" x14ac:dyDescent="0.2">
      <c r="A19" s="756"/>
      <c r="B19" s="767"/>
      <c r="C19" s="60" t="s">
        <v>33</v>
      </c>
      <c r="D19" s="60"/>
      <c r="E19" s="60"/>
      <c r="F19" s="60"/>
      <c r="G19" s="60"/>
      <c r="H19" s="60">
        <v>7752</v>
      </c>
      <c r="I19" s="61">
        <v>7713</v>
      </c>
      <c r="J19" s="49">
        <v>7990</v>
      </c>
      <c r="K19" s="49">
        <v>9276</v>
      </c>
      <c r="L19" s="49">
        <v>9178.11</v>
      </c>
      <c r="M19" s="48">
        <v>9228.06</v>
      </c>
      <c r="N19" s="49">
        <v>12166.42</v>
      </c>
      <c r="O19" s="48">
        <v>11448.4</v>
      </c>
      <c r="P19" s="48">
        <v>11685.91</v>
      </c>
      <c r="Q19" s="49">
        <v>11000</v>
      </c>
      <c r="R19" s="49">
        <v>11000</v>
      </c>
      <c r="S19" s="22">
        <f t="shared" si="2"/>
        <v>1</v>
      </c>
      <c r="T19" s="621">
        <f t="shared" ref="T19:T25" si="7">R19</f>
        <v>11000</v>
      </c>
      <c r="U19" s="622">
        <f t="shared" ref="U19:U25" si="8">T19</f>
        <v>11000</v>
      </c>
      <c r="V19" s="616"/>
    </row>
    <row r="20" spans="1:23" x14ac:dyDescent="0.2">
      <c r="A20" s="756"/>
      <c r="B20" s="768"/>
      <c r="C20" s="62" t="s">
        <v>34</v>
      </c>
      <c r="D20" s="62"/>
      <c r="E20" s="62"/>
      <c r="F20" s="62"/>
      <c r="G20" s="62"/>
      <c r="H20" s="62">
        <v>532</v>
      </c>
      <c r="I20" s="63">
        <v>732</v>
      </c>
      <c r="J20" s="27">
        <v>732</v>
      </c>
      <c r="K20" s="27">
        <v>749</v>
      </c>
      <c r="L20" s="27">
        <v>300</v>
      </c>
      <c r="M20" s="26">
        <v>300</v>
      </c>
      <c r="N20" s="27">
        <v>632</v>
      </c>
      <c r="O20" s="26">
        <v>398.66</v>
      </c>
      <c r="P20" s="26">
        <v>332</v>
      </c>
      <c r="Q20" s="27">
        <v>300</v>
      </c>
      <c r="R20" s="27">
        <v>300</v>
      </c>
      <c r="S20" s="28">
        <f t="shared" si="2"/>
        <v>1</v>
      </c>
      <c r="T20" s="623">
        <f t="shared" si="7"/>
        <v>300</v>
      </c>
      <c r="U20" s="624">
        <f t="shared" si="8"/>
        <v>300</v>
      </c>
    </row>
    <row r="21" spans="1:23" x14ac:dyDescent="0.2">
      <c r="A21" s="756"/>
      <c r="B21" s="768"/>
      <c r="C21" s="62" t="s">
        <v>35</v>
      </c>
      <c r="D21" s="62"/>
      <c r="E21" s="62"/>
      <c r="F21" s="62"/>
      <c r="G21" s="62"/>
      <c r="H21" s="62">
        <v>700</v>
      </c>
      <c r="I21" s="63">
        <v>750</v>
      </c>
      <c r="J21" s="27">
        <v>750</v>
      </c>
      <c r="K21" s="27">
        <v>725</v>
      </c>
      <c r="L21" s="27">
        <v>650</v>
      </c>
      <c r="M21" s="26">
        <v>679.15</v>
      </c>
      <c r="N21" s="27">
        <v>691.66</v>
      </c>
      <c r="O21" s="26">
        <v>875</v>
      </c>
      <c r="P21" s="26">
        <v>1190</v>
      </c>
      <c r="Q21" s="27">
        <v>650</v>
      </c>
      <c r="R21" s="27">
        <v>650</v>
      </c>
      <c r="S21" s="28">
        <f t="shared" si="2"/>
        <v>1</v>
      </c>
      <c r="T21" s="623">
        <f t="shared" si="7"/>
        <v>650</v>
      </c>
      <c r="U21" s="624">
        <f t="shared" si="8"/>
        <v>650</v>
      </c>
    </row>
    <row r="22" spans="1:23" x14ac:dyDescent="0.2">
      <c r="A22" s="756"/>
      <c r="B22" s="768"/>
      <c r="C22" s="62" t="s">
        <v>36</v>
      </c>
      <c r="D22" s="62"/>
      <c r="E22" s="62"/>
      <c r="F22" s="62"/>
      <c r="G22" s="62"/>
      <c r="H22" s="62">
        <v>12441</v>
      </c>
      <c r="I22" s="63">
        <v>12101</v>
      </c>
      <c r="J22" s="27">
        <v>14430</v>
      </c>
      <c r="K22" s="27">
        <v>12793</v>
      </c>
      <c r="L22" s="27">
        <v>13503.5</v>
      </c>
      <c r="M22" s="26">
        <v>13052</v>
      </c>
      <c r="N22" s="27">
        <v>12555.5</v>
      </c>
      <c r="O22" s="26">
        <v>12857.5</v>
      </c>
      <c r="P22" s="26">
        <v>13737</v>
      </c>
      <c r="Q22" s="27">
        <v>12500</v>
      </c>
      <c r="R22" s="27">
        <v>12500</v>
      </c>
      <c r="S22" s="28">
        <f t="shared" si="2"/>
        <v>1</v>
      </c>
      <c r="T22" s="623">
        <f t="shared" si="7"/>
        <v>12500</v>
      </c>
      <c r="U22" s="624">
        <f t="shared" si="8"/>
        <v>12500</v>
      </c>
    </row>
    <row r="23" spans="1:23" x14ac:dyDescent="0.2">
      <c r="A23" s="756"/>
      <c r="B23" s="768"/>
      <c r="C23" s="62" t="s">
        <v>37</v>
      </c>
      <c r="D23" s="62"/>
      <c r="E23" s="62"/>
      <c r="F23" s="62"/>
      <c r="G23" s="62"/>
      <c r="H23" s="62">
        <v>28263</v>
      </c>
      <c r="I23" s="63">
        <v>29878</v>
      </c>
      <c r="J23" s="27">
        <v>31474</v>
      </c>
      <c r="K23" s="27">
        <v>37978</v>
      </c>
      <c r="L23" s="27">
        <v>32751.27</v>
      </c>
      <c r="M23" s="26">
        <v>29179.68</v>
      </c>
      <c r="N23" s="27">
        <v>32177.919999999998</v>
      </c>
      <c r="O23" s="26">
        <v>25859.559999999998</v>
      </c>
      <c r="P23" s="26">
        <v>30880.28</v>
      </c>
      <c r="Q23" s="27">
        <v>31040</v>
      </c>
      <c r="R23" s="27">
        <v>24000</v>
      </c>
      <c r="S23" s="28">
        <f t="shared" si="2"/>
        <v>0.77319587628865982</v>
      </c>
      <c r="T23" s="623">
        <f t="shared" si="7"/>
        <v>24000</v>
      </c>
      <c r="U23" s="624">
        <f t="shared" si="8"/>
        <v>24000</v>
      </c>
    </row>
    <row r="24" spans="1:23" x14ac:dyDescent="0.2">
      <c r="A24" s="756"/>
      <c r="B24" s="768"/>
      <c r="C24" s="62" t="s">
        <v>38</v>
      </c>
      <c r="D24" s="62"/>
      <c r="E24" s="62"/>
      <c r="F24" s="62"/>
      <c r="G24" s="62"/>
      <c r="H24" s="62">
        <v>162034</v>
      </c>
      <c r="I24" s="63">
        <f>159378+2395</f>
        <v>161773</v>
      </c>
      <c r="J24" s="27">
        <v>174176</v>
      </c>
      <c r="K24" s="27">
        <f>265321+3376</f>
        <v>268697</v>
      </c>
      <c r="L24" s="27">
        <v>243006.26</v>
      </c>
      <c r="M24" s="26">
        <v>240323.78</v>
      </c>
      <c r="N24" s="27">
        <v>255051.03999999998</v>
      </c>
      <c r="O24" s="26">
        <v>252038.01</v>
      </c>
      <c r="P24" s="26">
        <v>235688.58</v>
      </c>
      <c r="Q24" s="27">
        <v>250000</v>
      </c>
      <c r="R24" s="27">
        <v>290000</v>
      </c>
      <c r="S24" s="28">
        <f t="shared" si="2"/>
        <v>1.1599999999999999</v>
      </c>
      <c r="T24" s="623">
        <f t="shared" si="7"/>
        <v>290000</v>
      </c>
      <c r="U24" s="624">
        <f t="shared" si="8"/>
        <v>290000</v>
      </c>
      <c r="W24" s="616"/>
    </row>
    <row r="25" spans="1:23" ht="13.5" thickBot="1" x14ac:dyDescent="0.25">
      <c r="A25" s="763"/>
      <c r="B25" s="769"/>
      <c r="C25" s="64" t="s">
        <v>39</v>
      </c>
      <c r="D25" s="65"/>
      <c r="E25" s="65"/>
      <c r="F25" s="65"/>
      <c r="G25" s="65"/>
      <c r="H25" s="65">
        <v>86944</v>
      </c>
      <c r="I25" s="63">
        <v>86021</v>
      </c>
      <c r="J25" s="33">
        <v>86667</v>
      </c>
      <c r="K25" s="33">
        <v>102104</v>
      </c>
      <c r="L25" s="33">
        <v>104494.88</v>
      </c>
      <c r="M25" s="32">
        <v>101193</v>
      </c>
      <c r="N25" s="33">
        <v>126956.95</v>
      </c>
      <c r="O25" s="32">
        <v>137703.60999999999</v>
      </c>
      <c r="P25" s="32">
        <v>140686.23000000001</v>
      </c>
      <c r="Q25" s="33">
        <v>125000</v>
      </c>
      <c r="R25" s="33">
        <v>150000</v>
      </c>
      <c r="S25" s="34">
        <f t="shared" si="2"/>
        <v>1.2</v>
      </c>
      <c r="T25" s="625">
        <f t="shared" si="7"/>
        <v>150000</v>
      </c>
      <c r="U25" s="626">
        <f t="shared" si="8"/>
        <v>150000</v>
      </c>
    </row>
    <row r="26" spans="1:23" ht="16.5" thickBot="1" x14ac:dyDescent="0.3">
      <c r="A26" s="66">
        <v>200</v>
      </c>
      <c r="B26" s="781" t="s">
        <v>40</v>
      </c>
      <c r="C26" s="782"/>
      <c r="D26" s="67">
        <f>D27+D40+D60+D62</f>
        <v>1277767</v>
      </c>
      <c r="E26" s="67">
        <f>E27+E40+E60+E62</f>
        <v>1153090</v>
      </c>
      <c r="F26" s="67">
        <f>F27+F40+F60+F62</f>
        <v>1821583</v>
      </c>
      <c r="G26" s="67">
        <f>G27+G40+G60+G62</f>
        <v>1266222</v>
      </c>
      <c r="H26" s="67">
        <v>1215651</v>
      </c>
      <c r="I26" s="67">
        <f t="shared" ref="I26:R26" si="9">I27+I40+I60+I62</f>
        <v>1492638</v>
      </c>
      <c r="J26" s="67">
        <f t="shared" si="9"/>
        <v>1090799</v>
      </c>
      <c r="K26" s="67">
        <f t="shared" si="9"/>
        <v>1258962</v>
      </c>
      <c r="L26" s="67">
        <f t="shared" si="9"/>
        <v>1049268.01</v>
      </c>
      <c r="M26" s="68">
        <f t="shared" si="9"/>
        <v>1119583.28</v>
      </c>
      <c r="N26" s="67">
        <f t="shared" si="9"/>
        <v>1113252.3600000001</v>
      </c>
      <c r="O26" s="67">
        <f t="shared" si="9"/>
        <v>1054445.69</v>
      </c>
      <c r="P26" s="67">
        <f>P27+P40+P60+P62</f>
        <v>1433521.3099999998</v>
      </c>
      <c r="Q26" s="67">
        <f>Q27+Q40+Q60+Q62</f>
        <v>1455793</v>
      </c>
      <c r="R26" s="69">
        <f t="shared" si="9"/>
        <v>1078558</v>
      </c>
      <c r="S26" s="10">
        <f t="shared" si="2"/>
        <v>0.74087318732814345</v>
      </c>
      <c r="T26" s="69">
        <f>T27+T40+T60+T62</f>
        <v>1078558</v>
      </c>
      <c r="U26" s="630">
        <f>U27+U40+U60+U62</f>
        <v>1078558</v>
      </c>
    </row>
    <row r="27" spans="1:23" ht="15.75" thickBot="1" x14ac:dyDescent="0.3">
      <c r="A27" s="612">
        <v>210</v>
      </c>
      <c r="B27" s="760" t="s">
        <v>41</v>
      </c>
      <c r="C27" s="762"/>
      <c r="D27" s="70">
        <f>D28+D32</f>
        <v>873233</v>
      </c>
      <c r="E27" s="70">
        <f>E28+E32</f>
        <v>794430</v>
      </c>
      <c r="F27" s="70">
        <f>F28+F32</f>
        <v>1059517</v>
      </c>
      <c r="G27" s="70">
        <f>G28+G32</f>
        <v>810580</v>
      </c>
      <c r="H27" s="70">
        <v>598394</v>
      </c>
      <c r="I27" s="70">
        <f t="shared" ref="I27:T27" si="10">I28+I32</f>
        <v>741364</v>
      </c>
      <c r="J27" s="70">
        <f t="shared" si="10"/>
        <v>560834</v>
      </c>
      <c r="K27" s="70">
        <f t="shared" si="10"/>
        <v>650004</v>
      </c>
      <c r="L27" s="70">
        <f>L28+L32</f>
        <v>379467.55</v>
      </c>
      <c r="M27" s="71">
        <f t="shared" si="10"/>
        <v>418308.61</v>
      </c>
      <c r="N27" s="70">
        <f>N28+N32</f>
        <v>461210.13</v>
      </c>
      <c r="O27" s="71">
        <f>O28+O32</f>
        <v>442510.63</v>
      </c>
      <c r="P27" s="70">
        <f>P28+P32</f>
        <v>507429.88</v>
      </c>
      <c r="Q27" s="70">
        <f>Q28+Q32</f>
        <v>574463</v>
      </c>
      <c r="R27" s="72">
        <f t="shared" si="10"/>
        <v>507458</v>
      </c>
      <c r="S27" s="10">
        <f t="shared" si="2"/>
        <v>0.88336063419228039</v>
      </c>
      <c r="T27" s="72">
        <f t="shared" si="10"/>
        <v>507458</v>
      </c>
      <c r="U27" s="631">
        <f>U28+U32</f>
        <v>507458</v>
      </c>
    </row>
    <row r="28" spans="1:23" ht="13.5" thickBot="1" x14ac:dyDescent="0.25">
      <c r="A28" s="755" t="s">
        <v>42</v>
      </c>
      <c r="B28" s="39">
        <v>211</v>
      </c>
      <c r="C28" s="73" t="s">
        <v>41</v>
      </c>
      <c r="D28" s="39">
        <v>93242</v>
      </c>
      <c r="E28" s="39">
        <v>23701</v>
      </c>
      <c r="F28" s="39">
        <v>51351</v>
      </c>
      <c r="G28" s="39">
        <v>38822</v>
      </c>
      <c r="H28" s="39">
        <v>66052</v>
      </c>
      <c r="I28" s="57">
        <f t="shared" ref="I28:T28" si="11">SUM(I29:I31)</f>
        <v>29084</v>
      </c>
      <c r="J28" s="57">
        <f t="shared" si="11"/>
        <v>47000</v>
      </c>
      <c r="K28" s="57">
        <f t="shared" si="11"/>
        <v>58181</v>
      </c>
      <c r="L28" s="57">
        <f>SUM(L29:L31)</f>
        <v>20000</v>
      </c>
      <c r="M28" s="57">
        <f t="shared" si="11"/>
        <v>15000</v>
      </c>
      <c r="N28" s="57">
        <f t="shared" si="11"/>
        <v>24000</v>
      </c>
      <c r="O28" s="58">
        <f>SUM(O29:O31)</f>
        <v>11000</v>
      </c>
      <c r="P28" s="57">
        <f>SUM(P29:P31)</f>
        <v>12500</v>
      </c>
      <c r="Q28" s="57">
        <f>SUM(Q29:Q31)</f>
        <v>15000</v>
      </c>
      <c r="R28" s="59">
        <f t="shared" si="11"/>
        <v>15000</v>
      </c>
      <c r="S28" s="10">
        <f t="shared" si="2"/>
        <v>1</v>
      </c>
      <c r="T28" s="59">
        <f t="shared" si="11"/>
        <v>15000</v>
      </c>
      <c r="U28" s="629">
        <f>SUM(U29:U31)</f>
        <v>15000</v>
      </c>
    </row>
    <row r="29" spans="1:23" hidden="1" x14ac:dyDescent="0.2">
      <c r="A29" s="756"/>
      <c r="B29" s="764"/>
      <c r="C29" s="74" t="s">
        <v>43</v>
      </c>
      <c r="D29" s="75"/>
      <c r="E29" s="75"/>
      <c r="F29" s="75"/>
      <c r="G29" s="75"/>
      <c r="H29" s="75"/>
      <c r="I29" s="75"/>
      <c r="J29" s="75"/>
      <c r="K29" s="76"/>
      <c r="L29" s="49"/>
      <c r="M29" s="49"/>
      <c r="N29" s="49"/>
      <c r="O29" s="48"/>
      <c r="P29" s="49"/>
      <c r="Q29" s="49"/>
      <c r="R29" s="49"/>
      <c r="S29" s="22">
        <f t="shared" si="2"/>
        <v>0</v>
      </c>
      <c r="T29" s="22"/>
      <c r="U29" s="632"/>
    </row>
    <row r="30" spans="1:23" hidden="1" x14ac:dyDescent="0.2">
      <c r="A30" s="756"/>
      <c r="B30" s="765"/>
      <c r="C30" s="77" t="s">
        <v>44</v>
      </c>
      <c r="D30" s="77"/>
      <c r="E30" s="77"/>
      <c r="F30" s="77"/>
      <c r="G30" s="77"/>
      <c r="H30" s="77"/>
      <c r="I30" s="77"/>
      <c r="J30" s="77"/>
      <c r="K30" s="63"/>
      <c r="L30" s="27"/>
      <c r="M30" s="27"/>
      <c r="N30" s="27"/>
      <c r="O30" s="26"/>
      <c r="P30" s="27"/>
      <c r="Q30" s="27"/>
      <c r="R30" s="27"/>
      <c r="S30" s="28">
        <f t="shared" si="2"/>
        <v>0</v>
      </c>
      <c r="T30" s="28"/>
      <c r="U30" s="633"/>
    </row>
    <row r="31" spans="1:23" ht="13.5" thickBot="1" x14ac:dyDescent="0.25">
      <c r="A31" s="756"/>
      <c r="B31" s="766"/>
      <c r="C31" s="78" t="s">
        <v>45</v>
      </c>
      <c r="D31" s="78"/>
      <c r="E31" s="78"/>
      <c r="F31" s="78"/>
      <c r="G31" s="78"/>
      <c r="H31" s="78"/>
      <c r="I31" s="78">
        <v>29084</v>
      </c>
      <c r="J31" s="78">
        <v>47000</v>
      </c>
      <c r="K31" s="79">
        <v>58181</v>
      </c>
      <c r="L31" s="52">
        <v>20000</v>
      </c>
      <c r="M31" s="52">
        <v>15000</v>
      </c>
      <c r="N31" s="52">
        <v>24000</v>
      </c>
      <c r="O31" s="51">
        <v>11000</v>
      </c>
      <c r="P31" s="52">
        <v>12500</v>
      </c>
      <c r="Q31" s="52">
        <v>15000</v>
      </c>
      <c r="R31" s="52">
        <v>15000</v>
      </c>
      <c r="S31" s="34">
        <f t="shared" si="2"/>
        <v>1</v>
      </c>
      <c r="T31" s="625">
        <f>R31</f>
        <v>15000</v>
      </c>
      <c r="U31" s="626">
        <f>T31</f>
        <v>15000</v>
      </c>
      <c r="W31" s="616"/>
    </row>
    <row r="32" spans="1:23" ht="13.5" thickBot="1" x14ac:dyDescent="0.25">
      <c r="A32" s="756"/>
      <c r="B32" s="80">
        <v>212</v>
      </c>
      <c r="C32" s="81" t="s">
        <v>46</v>
      </c>
      <c r="D32" s="82">
        <f>SUM(D33:D39)</f>
        <v>779991</v>
      </c>
      <c r="E32" s="82">
        <f>SUM(E33:E39)</f>
        <v>770729</v>
      </c>
      <c r="F32" s="82">
        <f>SUM(F33:F39)</f>
        <v>1008166</v>
      </c>
      <c r="G32" s="82">
        <f>SUM(G33:G39)</f>
        <v>771758</v>
      </c>
      <c r="H32" s="82">
        <v>532342</v>
      </c>
      <c r="I32" s="82">
        <f t="shared" ref="I32:T32" si="12">SUM(I33:I39)</f>
        <v>712280</v>
      </c>
      <c r="J32" s="82">
        <f t="shared" si="12"/>
        <v>513834</v>
      </c>
      <c r="K32" s="83">
        <f t="shared" si="12"/>
        <v>591823</v>
      </c>
      <c r="L32" s="83">
        <f t="shared" si="12"/>
        <v>359467.55</v>
      </c>
      <c r="M32" s="84">
        <f t="shared" si="12"/>
        <v>403308.61</v>
      </c>
      <c r="N32" s="83">
        <f t="shared" si="12"/>
        <v>437210.13</v>
      </c>
      <c r="O32" s="84">
        <f t="shared" si="12"/>
        <v>431510.63</v>
      </c>
      <c r="P32" s="83">
        <f>SUM(P33:P39)</f>
        <v>494929.88</v>
      </c>
      <c r="Q32" s="83">
        <f t="shared" si="12"/>
        <v>559463</v>
      </c>
      <c r="R32" s="85">
        <f t="shared" si="12"/>
        <v>492458</v>
      </c>
      <c r="S32" s="10">
        <f t="shared" si="2"/>
        <v>0.88023336663908069</v>
      </c>
      <c r="T32" s="85">
        <f t="shared" si="12"/>
        <v>492458</v>
      </c>
      <c r="U32" s="634">
        <f>SUM(U33:U39)</f>
        <v>492458</v>
      </c>
    </row>
    <row r="33" spans="1:27" x14ac:dyDescent="0.2">
      <c r="A33" s="756"/>
      <c r="B33" s="767"/>
      <c r="C33" s="74" t="s">
        <v>47</v>
      </c>
      <c r="D33" s="74">
        <v>751610</v>
      </c>
      <c r="E33" s="74">
        <v>750249</v>
      </c>
      <c r="F33" s="74">
        <v>649539</v>
      </c>
      <c r="G33" s="74">
        <v>427233</v>
      </c>
      <c r="H33" s="74">
        <v>348791</v>
      </c>
      <c r="I33" s="74">
        <v>510884</v>
      </c>
      <c r="J33" s="74">
        <v>324320</v>
      </c>
      <c r="K33" s="49">
        <v>401050</v>
      </c>
      <c r="L33" s="49">
        <v>135673.06</v>
      </c>
      <c r="M33" s="48">
        <v>134183.87</v>
      </c>
      <c r="N33" s="49">
        <v>87968.33</v>
      </c>
      <c r="O33" s="48">
        <v>71077.13</v>
      </c>
      <c r="P33" s="48">
        <v>118150.37</v>
      </c>
      <c r="Q33" s="49">
        <v>140926</v>
      </c>
      <c r="R33" s="49">
        <v>110000</v>
      </c>
      <c r="S33" s="22">
        <f t="shared" si="2"/>
        <v>0.78055149511090927</v>
      </c>
      <c r="T33" s="49">
        <f t="shared" ref="T33:T39" si="13">R33</f>
        <v>110000</v>
      </c>
      <c r="U33" s="395">
        <f t="shared" ref="U33:U39" si="14">T33</f>
        <v>110000</v>
      </c>
    </row>
    <row r="34" spans="1:27" x14ac:dyDescent="0.2">
      <c r="A34" s="756"/>
      <c r="B34" s="768"/>
      <c r="C34" s="77" t="s">
        <v>48</v>
      </c>
      <c r="D34" s="77">
        <v>6108</v>
      </c>
      <c r="E34" s="77">
        <v>5709</v>
      </c>
      <c r="F34" s="77">
        <v>5809</v>
      </c>
      <c r="G34" s="77">
        <v>7235</v>
      </c>
      <c r="H34" s="77">
        <v>7034</v>
      </c>
      <c r="I34" s="77">
        <v>6012</v>
      </c>
      <c r="J34" s="77">
        <v>5150</v>
      </c>
      <c r="K34" s="27">
        <v>5043</v>
      </c>
      <c r="L34" s="27">
        <v>6242.35</v>
      </c>
      <c r="M34" s="26">
        <v>8075.84</v>
      </c>
      <c r="N34" s="27">
        <v>8856.86</v>
      </c>
      <c r="O34" s="26">
        <v>10889.6</v>
      </c>
      <c r="P34" s="26">
        <v>15581.52</v>
      </c>
      <c r="Q34" s="27">
        <v>11000</v>
      </c>
      <c r="R34" s="27">
        <v>11000</v>
      </c>
      <c r="S34" s="28">
        <f t="shared" si="2"/>
        <v>1</v>
      </c>
      <c r="T34" s="27">
        <f t="shared" si="13"/>
        <v>11000</v>
      </c>
      <c r="U34" s="421">
        <f t="shared" si="14"/>
        <v>11000</v>
      </c>
    </row>
    <row r="35" spans="1:27" x14ac:dyDescent="0.2">
      <c r="A35" s="756"/>
      <c r="B35" s="768"/>
      <c r="C35" s="86" t="s">
        <v>49</v>
      </c>
      <c r="D35" s="86"/>
      <c r="E35" s="86"/>
      <c r="F35" s="86"/>
      <c r="G35" s="86"/>
      <c r="H35" s="86"/>
      <c r="I35" s="86"/>
      <c r="J35" s="86"/>
      <c r="K35" s="52">
        <v>0</v>
      </c>
      <c r="L35" s="52">
        <v>41494.18</v>
      </c>
      <c r="M35" s="51">
        <v>46671.58</v>
      </c>
      <c r="N35" s="52">
        <v>82406.399999999994</v>
      </c>
      <c r="O35" s="51">
        <v>98976.09</v>
      </c>
      <c r="P35" s="51">
        <v>127041.24</v>
      </c>
      <c r="Q35" s="52">
        <v>156198</v>
      </c>
      <c r="R35" s="52">
        <v>127000</v>
      </c>
      <c r="S35" s="28">
        <f t="shared" si="2"/>
        <v>0.81307058989231618</v>
      </c>
      <c r="T35" s="52">
        <f t="shared" si="13"/>
        <v>127000</v>
      </c>
      <c r="U35" s="635">
        <f t="shared" si="14"/>
        <v>127000</v>
      </c>
    </row>
    <row r="36" spans="1:27" x14ac:dyDescent="0.2">
      <c r="A36" s="756"/>
      <c r="B36" s="768"/>
      <c r="C36" s="86" t="s">
        <v>50</v>
      </c>
      <c r="D36" s="86"/>
      <c r="E36" s="86"/>
      <c r="F36" s="86"/>
      <c r="G36" s="86"/>
      <c r="H36" s="86"/>
      <c r="I36" s="86"/>
      <c r="J36" s="86"/>
      <c r="K36" s="52"/>
      <c r="L36" s="52"/>
      <c r="M36" s="51"/>
      <c r="N36" s="52">
        <v>19383.830000000002</v>
      </c>
      <c r="O36" s="51">
        <v>32459.84</v>
      </c>
      <c r="P36" s="51">
        <v>37761.699999999997</v>
      </c>
      <c r="Q36" s="52">
        <v>19039</v>
      </c>
      <c r="R36" s="52">
        <v>32500</v>
      </c>
      <c r="S36" s="28">
        <f t="shared" si="2"/>
        <v>1.7070224276485109</v>
      </c>
      <c r="T36" s="52">
        <f t="shared" si="13"/>
        <v>32500</v>
      </c>
      <c r="U36" s="635">
        <f t="shared" si="14"/>
        <v>32500</v>
      </c>
    </row>
    <row r="37" spans="1:27" hidden="1" x14ac:dyDescent="0.2">
      <c r="A37" s="756"/>
      <c r="B37" s="768"/>
      <c r="C37" s="86"/>
      <c r="D37" s="86"/>
      <c r="E37" s="86"/>
      <c r="F37" s="86"/>
      <c r="G37" s="86"/>
      <c r="H37" s="86"/>
      <c r="I37" s="86"/>
      <c r="J37" s="86"/>
      <c r="K37" s="52"/>
      <c r="L37" s="52"/>
      <c r="M37" s="51"/>
      <c r="N37" s="52">
        <v>10094.75</v>
      </c>
      <c r="O37" s="51">
        <v>3927.1</v>
      </c>
      <c r="P37" s="51"/>
      <c r="Q37" s="52"/>
      <c r="R37" s="52"/>
      <c r="S37" s="28">
        <f t="shared" si="2"/>
        <v>0</v>
      </c>
      <c r="T37" s="52">
        <f t="shared" si="13"/>
        <v>0</v>
      </c>
      <c r="U37" s="635">
        <f t="shared" si="14"/>
        <v>0</v>
      </c>
    </row>
    <row r="38" spans="1:27" x14ac:dyDescent="0.2">
      <c r="A38" s="756"/>
      <c r="B38" s="768"/>
      <c r="C38" s="86" t="s">
        <v>51</v>
      </c>
      <c r="D38" s="86"/>
      <c r="E38" s="86">
        <v>0</v>
      </c>
      <c r="F38" s="86">
        <v>339806</v>
      </c>
      <c r="G38" s="86">
        <v>322656</v>
      </c>
      <c r="H38" s="86">
        <v>92953</v>
      </c>
      <c r="I38" s="86">
        <v>100909</v>
      </c>
      <c r="J38" s="86">
        <v>83511</v>
      </c>
      <c r="K38" s="52">
        <f>77287+178+128</f>
        <v>77593</v>
      </c>
      <c r="L38" s="52">
        <v>80654.7</v>
      </c>
      <c r="M38" s="51">
        <v>77194.39</v>
      </c>
      <c r="N38" s="52">
        <v>75486.59</v>
      </c>
      <c r="O38" s="51">
        <v>75089.34</v>
      </c>
      <c r="P38" s="51">
        <v>58412.39</v>
      </c>
      <c r="Q38" s="52">
        <v>76958</v>
      </c>
      <c r="R38" s="52">
        <v>76958</v>
      </c>
      <c r="S38" s="28">
        <f t="shared" si="2"/>
        <v>1</v>
      </c>
      <c r="T38" s="52">
        <f t="shared" si="13"/>
        <v>76958</v>
      </c>
      <c r="U38" s="635">
        <f t="shared" si="14"/>
        <v>76958</v>
      </c>
    </row>
    <row r="39" spans="1:27" ht="13.5" thickBot="1" x14ac:dyDescent="0.25">
      <c r="A39" s="763"/>
      <c r="B39" s="769"/>
      <c r="C39" s="78" t="s">
        <v>52</v>
      </c>
      <c r="D39" s="78">
        <v>22273</v>
      </c>
      <c r="E39" s="78">
        <v>14771</v>
      </c>
      <c r="F39" s="78">
        <v>13012</v>
      </c>
      <c r="G39" s="78">
        <v>14634</v>
      </c>
      <c r="H39" s="78">
        <v>83564</v>
      </c>
      <c r="I39" s="78">
        <v>94475</v>
      </c>
      <c r="J39" s="78">
        <v>100853</v>
      </c>
      <c r="K39" s="52">
        <v>108137</v>
      </c>
      <c r="L39" s="52">
        <v>95403.26</v>
      </c>
      <c r="M39" s="51">
        <v>137182.93</v>
      </c>
      <c r="N39" s="52">
        <v>153013.37000000002</v>
      </c>
      <c r="O39" s="51">
        <v>139091.53</v>
      </c>
      <c r="P39" s="51">
        <v>137982.66</v>
      </c>
      <c r="Q39" s="52">
        <v>155342</v>
      </c>
      <c r="R39" s="52">
        <v>135000</v>
      </c>
      <c r="S39" s="34">
        <f t="shared" si="2"/>
        <v>0.86905022466557658</v>
      </c>
      <c r="T39" s="52">
        <f t="shared" si="13"/>
        <v>135000</v>
      </c>
      <c r="U39" s="635">
        <f t="shared" si="14"/>
        <v>135000</v>
      </c>
    </row>
    <row r="40" spans="1:27" ht="15.75" thickBot="1" x14ac:dyDescent="0.3">
      <c r="A40" s="35">
        <v>220</v>
      </c>
      <c r="B40" s="760" t="s">
        <v>53</v>
      </c>
      <c r="C40" s="762"/>
      <c r="D40" s="87">
        <f t="shared" ref="D40:R40" si="15">D41+D45+D58</f>
        <v>320786</v>
      </c>
      <c r="E40" s="87">
        <f t="shared" si="15"/>
        <v>327192</v>
      </c>
      <c r="F40" s="87">
        <f t="shared" si="15"/>
        <v>429297</v>
      </c>
      <c r="G40" s="87">
        <f t="shared" si="15"/>
        <v>326610</v>
      </c>
      <c r="H40" s="87">
        <f t="shared" si="15"/>
        <v>550895</v>
      </c>
      <c r="I40" s="87">
        <f t="shared" si="15"/>
        <v>581281</v>
      </c>
      <c r="J40" s="87">
        <f t="shared" si="15"/>
        <v>471458</v>
      </c>
      <c r="K40" s="87">
        <f t="shared" si="15"/>
        <v>514547</v>
      </c>
      <c r="L40" s="87">
        <f t="shared" si="15"/>
        <v>595361.41999999993</v>
      </c>
      <c r="M40" s="88">
        <f t="shared" si="15"/>
        <v>603358.30999999994</v>
      </c>
      <c r="N40" s="89">
        <f t="shared" si="15"/>
        <v>575655.29</v>
      </c>
      <c r="O40" s="89">
        <f t="shared" si="15"/>
        <v>565224.04999999993</v>
      </c>
      <c r="P40" s="89">
        <f>P41+P45+P58</f>
        <v>868065.2699999999</v>
      </c>
      <c r="Q40" s="89">
        <f>Q41+Q45+Q58</f>
        <v>854330</v>
      </c>
      <c r="R40" s="89">
        <f t="shared" si="15"/>
        <v>544100</v>
      </c>
      <c r="S40" s="10">
        <f t="shared" si="2"/>
        <v>0.63687333934194046</v>
      </c>
      <c r="T40" s="89">
        <f>T41+T45+T58</f>
        <v>544100</v>
      </c>
      <c r="U40" s="636">
        <f>U41+U45+U58</f>
        <v>544100</v>
      </c>
    </row>
    <row r="41" spans="1:27" ht="13.5" thickBot="1" x14ac:dyDescent="0.25">
      <c r="A41" s="755"/>
      <c r="B41" s="80">
        <v>221</v>
      </c>
      <c r="C41" s="742" t="s">
        <v>54</v>
      </c>
      <c r="D41" s="82">
        <f t="shared" ref="D41:R41" si="16">SUM(D42:D44)</f>
        <v>108312</v>
      </c>
      <c r="E41" s="82">
        <f t="shared" si="16"/>
        <v>99747</v>
      </c>
      <c r="F41" s="82">
        <f t="shared" si="16"/>
        <v>156211</v>
      </c>
      <c r="G41" s="82">
        <f t="shared" si="16"/>
        <v>110441</v>
      </c>
      <c r="H41" s="82">
        <f t="shared" si="16"/>
        <v>116883</v>
      </c>
      <c r="I41" s="82">
        <f t="shared" si="16"/>
        <v>93914</v>
      </c>
      <c r="J41" s="82">
        <f t="shared" si="16"/>
        <v>69092</v>
      </c>
      <c r="K41" s="82">
        <f t="shared" si="16"/>
        <v>77127</v>
      </c>
      <c r="L41" s="82">
        <f>SUM(L42:L44)</f>
        <v>85540.68</v>
      </c>
      <c r="M41" s="743">
        <f t="shared" si="16"/>
        <v>81456.3</v>
      </c>
      <c r="N41" s="744">
        <f>SUM(N42:N44)</f>
        <v>65885.95</v>
      </c>
      <c r="O41" s="745">
        <f>SUM(O42:O44)</f>
        <v>60850.59</v>
      </c>
      <c r="P41" s="744">
        <f>SUM(P42:P44)</f>
        <v>136156.94</v>
      </c>
      <c r="Q41" s="744">
        <f>SUM(Q42:Q44)</f>
        <v>129700</v>
      </c>
      <c r="R41" s="744">
        <f t="shared" si="16"/>
        <v>85000</v>
      </c>
      <c r="S41" s="138">
        <f t="shared" si="2"/>
        <v>0.65535851966075565</v>
      </c>
      <c r="T41" s="744">
        <f>SUM(T42:T44)</f>
        <v>85000</v>
      </c>
      <c r="U41" s="746">
        <f>SUM(U42:U44)</f>
        <v>85000</v>
      </c>
    </row>
    <row r="42" spans="1:27" x14ac:dyDescent="0.2">
      <c r="A42" s="770"/>
      <c r="B42" s="767"/>
      <c r="C42" s="62" t="s">
        <v>55</v>
      </c>
      <c r="D42" s="77">
        <v>103532</v>
      </c>
      <c r="E42" s="77">
        <v>91482</v>
      </c>
      <c r="F42" s="77">
        <v>143896</v>
      </c>
      <c r="G42" s="77">
        <v>103964</v>
      </c>
      <c r="H42" s="77">
        <v>97289</v>
      </c>
      <c r="I42" s="77">
        <v>69567</v>
      </c>
      <c r="J42" s="77">
        <v>48641</v>
      </c>
      <c r="K42" s="27">
        <v>58713</v>
      </c>
      <c r="L42" s="27">
        <v>65956.11</v>
      </c>
      <c r="M42" s="26">
        <v>53025.13</v>
      </c>
      <c r="N42" s="27">
        <v>35320.42</v>
      </c>
      <c r="O42" s="26">
        <v>33711.949999999997</v>
      </c>
      <c r="P42" s="26">
        <v>102428.79</v>
      </c>
      <c r="Q42" s="27">
        <v>101000</v>
      </c>
      <c r="R42" s="27">
        <v>70000</v>
      </c>
      <c r="S42" s="28">
        <f t="shared" si="2"/>
        <v>0.69306930693069302</v>
      </c>
      <c r="T42" s="27">
        <f>R42</f>
        <v>70000</v>
      </c>
      <c r="U42" s="421">
        <f>T42</f>
        <v>70000</v>
      </c>
    </row>
    <row r="43" spans="1:27" x14ac:dyDescent="0.2">
      <c r="A43" s="770"/>
      <c r="B43" s="768"/>
      <c r="C43" s="77" t="s">
        <v>56</v>
      </c>
      <c r="D43" s="77"/>
      <c r="E43" s="77"/>
      <c r="F43" s="77"/>
      <c r="G43" s="77"/>
      <c r="H43" s="77"/>
      <c r="I43" s="77"/>
      <c r="J43" s="77"/>
      <c r="K43" s="27"/>
      <c r="L43" s="27">
        <v>768.56</v>
      </c>
      <c r="M43" s="26">
        <v>1339.48</v>
      </c>
      <c r="N43" s="27">
        <v>1870.76</v>
      </c>
      <c r="O43" s="26"/>
      <c r="P43" s="26">
        <v>1404.5</v>
      </c>
      <c r="Q43" s="27">
        <v>700</v>
      </c>
      <c r="R43" s="27"/>
      <c r="S43" s="28">
        <f t="shared" si="2"/>
        <v>0</v>
      </c>
      <c r="T43" s="27">
        <f>R43</f>
        <v>0</v>
      </c>
      <c r="U43" s="421">
        <f>T43</f>
        <v>0</v>
      </c>
    </row>
    <row r="44" spans="1:27" ht="13.5" thickBot="1" x14ac:dyDescent="0.25">
      <c r="A44" s="770"/>
      <c r="B44" s="769"/>
      <c r="C44" s="98" t="s">
        <v>57</v>
      </c>
      <c r="D44" s="98">
        <v>4780</v>
      </c>
      <c r="E44" s="98">
        <v>8265</v>
      </c>
      <c r="F44" s="98">
        <v>12315</v>
      </c>
      <c r="G44" s="98">
        <v>6477</v>
      </c>
      <c r="H44" s="98">
        <v>19594</v>
      </c>
      <c r="I44" s="98">
        <v>24347</v>
      </c>
      <c r="J44" s="98">
        <v>20451</v>
      </c>
      <c r="K44" s="49">
        <v>18414</v>
      </c>
      <c r="L44" s="49">
        <v>18816.009999999998</v>
      </c>
      <c r="M44" s="92">
        <v>27091.69</v>
      </c>
      <c r="N44" s="93">
        <v>28694.77</v>
      </c>
      <c r="O44" s="92">
        <v>27138.639999999999</v>
      </c>
      <c r="P44" s="92">
        <v>32323.65</v>
      </c>
      <c r="Q44" s="93">
        <v>28000</v>
      </c>
      <c r="R44" s="93">
        <v>15000</v>
      </c>
      <c r="S44" s="101">
        <f t="shared" si="2"/>
        <v>0.5357142857142857</v>
      </c>
      <c r="T44" s="93">
        <f>R44</f>
        <v>15000</v>
      </c>
      <c r="U44" s="637">
        <f>T44</f>
        <v>15000</v>
      </c>
    </row>
    <row r="45" spans="1:27" ht="15.75" thickBot="1" x14ac:dyDescent="0.3">
      <c r="A45" s="770"/>
      <c r="B45" s="80">
        <v>223</v>
      </c>
      <c r="C45" s="80" t="s">
        <v>58</v>
      </c>
      <c r="D45" s="80">
        <v>209420</v>
      </c>
      <c r="E45" s="80">
        <v>224723</v>
      </c>
      <c r="F45" s="80">
        <v>270165</v>
      </c>
      <c r="G45" s="80">
        <v>213694</v>
      </c>
      <c r="H45" s="80">
        <v>431444</v>
      </c>
      <c r="I45" s="83">
        <f t="shared" ref="I45:Q45" si="17">SUM(I46:I57)</f>
        <v>484992</v>
      </c>
      <c r="J45" s="83">
        <f t="shared" si="17"/>
        <v>400298</v>
      </c>
      <c r="K45" s="83">
        <f t="shared" si="17"/>
        <v>434944</v>
      </c>
      <c r="L45" s="83">
        <f t="shared" si="17"/>
        <v>507780.69999999995</v>
      </c>
      <c r="M45" s="84">
        <f t="shared" si="17"/>
        <v>519757.41999999993</v>
      </c>
      <c r="N45" s="85">
        <f t="shared" si="17"/>
        <v>507767.17</v>
      </c>
      <c r="O45" s="90">
        <f t="shared" si="17"/>
        <v>502305.62</v>
      </c>
      <c r="P45" s="85">
        <f t="shared" si="17"/>
        <v>730285.49</v>
      </c>
      <c r="Q45" s="85">
        <f t="shared" si="17"/>
        <v>722830</v>
      </c>
      <c r="R45" s="85">
        <f>SUM(R46:R57)</f>
        <v>459100</v>
      </c>
      <c r="S45" s="10">
        <f t="shared" si="2"/>
        <v>0.63514242629663964</v>
      </c>
      <c r="T45" s="85">
        <f>SUM(T46:T57)</f>
        <v>459100</v>
      </c>
      <c r="U45" s="634">
        <f>SUM(U46:U57)</f>
        <v>459100</v>
      </c>
      <c r="Y45" s="618"/>
    </row>
    <row r="46" spans="1:27" x14ac:dyDescent="0.2">
      <c r="A46" s="770"/>
      <c r="B46" s="767"/>
      <c r="C46" s="74" t="s">
        <v>59</v>
      </c>
      <c r="D46" s="74"/>
      <c r="E46" s="74"/>
      <c r="F46" s="74"/>
      <c r="G46" s="74"/>
      <c r="H46" s="74"/>
      <c r="I46" s="74">
        <v>19602</v>
      </c>
      <c r="J46" s="74">
        <v>19573</v>
      </c>
      <c r="K46" s="27">
        <v>20641</v>
      </c>
      <c r="L46" s="27">
        <v>20552.5</v>
      </c>
      <c r="M46" s="48">
        <v>20532.330000000002</v>
      </c>
      <c r="N46" s="49">
        <v>37975.43</v>
      </c>
      <c r="O46" s="48">
        <v>42651.54</v>
      </c>
      <c r="P46" s="48">
        <v>57271.199999999997</v>
      </c>
      <c r="Q46" s="49">
        <v>50000</v>
      </c>
      <c r="R46" s="49">
        <v>55000</v>
      </c>
      <c r="S46" s="22">
        <f t="shared" si="2"/>
        <v>1.1000000000000001</v>
      </c>
      <c r="T46" s="49">
        <f t="shared" ref="T46:T57" si="18">R46</f>
        <v>55000</v>
      </c>
      <c r="U46" s="395">
        <f t="shared" ref="U46:U57" si="19">T46</f>
        <v>55000</v>
      </c>
    </row>
    <row r="47" spans="1:27" ht="15" x14ac:dyDescent="0.25">
      <c r="A47" s="770"/>
      <c r="B47" s="768"/>
      <c r="C47" s="75" t="s">
        <v>60</v>
      </c>
      <c r="D47" s="75"/>
      <c r="E47" s="75"/>
      <c r="F47" s="75"/>
      <c r="G47" s="75"/>
      <c r="H47" s="75"/>
      <c r="I47" s="75">
        <v>20170</v>
      </c>
      <c r="J47" s="75">
        <v>3900</v>
      </c>
      <c r="K47" s="27">
        <v>8400</v>
      </c>
      <c r="L47" s="27">
        <v>4100</v>
      </c>
      <c r="M47" s="48">
        <v>15650</v>
      </c>
      <c r="N47" s="49">
        <v>19753</v>
      </c>
      <c r="O47" s="48">
        <v>8510</v>
      </c>
      <c r="P47" s="48">
        <v>8950</v>
      </c>
      <c r="Q47" s="49"/>
      <c r="R47" s="49"/>
      <c r="S47" s="28">
        <f t="shared" si="2"/>
        <v>0</v>
      </c>
      <c r="T47" s="49">
        <f t="shared" si="18"/>
        <v>0</v>
      </c>
      <c r="U47" s="395">
        <f t="shared" si="19"/>
        <v>0</v>
      </c>
      <c r="AA47" s="618"/>
    </row>
    <row r="48" spans="1:27" hidden="1" x14ac:dyDescent="0.2">
      <c r="A48" s="770"/>
      <c r="B48" s="768"/>
      <c r="C48" s="75" t="s">
        <v>61</v>
      </c>
      <c r="D48" s="75"/>
      <c r="E48" s="75"/>
      <c r="F48" s="75"/>
      <c r="G48" s="75"/>
      <c r="H48" s="75"/>
      <c r="I48" s="94">
        <v>1309</v>
      </c>
      <c r="J48" s="95"/>
      <c r="K48" s="27"/>
      <c r="L48" s="27"/>
      <c r="M48" s="48"/>
      <c r="N48" s="49"/>
      <c r="O48" s="48"/>
      <c r="P48" s="48"/>
      <c r="Q48" s="49">
        <v>16000</v>
      </c>
      <c r="R48" s="49"/>
      <c r="S48" s="28">
        <f t="shared" si="2"/>
        <v>0</v>
      </c>
      <c r="T48" s="49">
        <f t="shared" si="18"/>
        <v>0</v>
      </c>
      <c r="U48" s="395">
        <f t="shared" si="19"/>
        <v>0</v>
      </c>
    </row>
    <row r="49" spans="1:27" ht="15" x14ac:dyDescent="0.25">
      <c r="A49" s="770"/>
      <c r="B49" s="768"/>
      <c r="C49" s="77" t="s">
        <v>62</v>
      </c>
      <c r="D49" s="77"/>
      <c r="E49" s="77"/>
      <c r="F49" s="77"/>
      <c r="G49" s="77"/>
      <c r="H49" s="77"/>
      <c r="I49" s="63">
        <v>23291</v>
      </c>
      <c r="J49" s="63">
        <v>27058</v>
      </c>
      <c r="K49" s="27">
        <f>18432+1749</f>
        <v>20181</v>
      </c>
      <c r="L49" s="27">
        <v>31759</v>
      </c>
      <c r="M49" s="26">
        <v>31403.35</v>
      </c>
      <c r="N49" s="27">
        <v>35343</v>
      </c>
      <c r="O49" s="26">
        <v>34322.050000000003</v>
      </c>
      <c r="P49" s="26">
        <v>45533.120000000003</v>
      </c>
      <c r="Q49" s="27">
        <v>33000</v>
      </c>
      <c r="R49" s="27">
        <v>34200</v>
      </c>
      <c r="S49" s="28">
        <f t="shared" si="2"/>
        <v>1.0363636363636364</v>
      </c>
      <c r="T49" s="27">
        <f t="shared" si="18"/>
        <v>34200</v>
      </c>
      <c r="U49" s="421">
        <f t="shared" si="19"/>
        <v>34200</v>
      </c>
      <c r="AA49" s="618"/>
    </row>
    <row r="50" spans="1:27" ht="15" x14ac:dyDescent="0.25">
      <c r="A50" s="770"/>
      <c r="B50" s="768"/>
      <c r="C50" s="77" t="s">
        <v>63</v>
      </c>
      <c r="D50" s="77"/>
      <c r="E50" s="77"/>
      <c r="F50" s="77"/>
      <c r="G50" s="77"/>
      <c r="H50" s="77"/>
      <c r="I50" s="63"/>
      <c r="J50" s="63"/>
      <c r="K50" s="27"/>
      <c r="L50" s="27"/>
      <c r="M50" s="26"/>
      <c r="N50" s="27"/>
      <c r="O50" s="26"/>
      <c r="P50" s="26">
        <v>34986.25</v>
      </c>
      <c r="Q50" s="27">
        <v>32000</v>
      </c>
      <c r="R50" s="27">
        <v>32000</v>
      </c>
      <c r="S50" s="28">
        <f t="shared" si="2"/>
        <v>1</v>
      </c>
      <c r="T50" s="27">
        <f t="shared" si="18"/>
        <v>32000</v>
      </c>
      <c r="U50" s="421">
        <f t="shared" si="19"/>
        <v>32000</v>
      </c>
      <c r="AA50" s="618"/>
    </row>
    <row r="51" spans="1:27" ht="15" x14ac:dyDescent="0.25">
      <c r="A51" s="770"/>
      <c r="B51" s="768"/>
      <c r="C51" s="77" t="s">
        <v>64</v>
      </c>
      <c r="D51" s="77"/>
      <c r="E51" s="77"/>
      <c r="F51" s="77"/>
      <c r="G51" s="77"/>
      <c r="H51" s="77"/>
      <c r="I51" s="63"/>
      <c r="J51" s="63"/>
      <c r="K51" s="27"/>
      <c r="L51" s="27"/>
      <c r="M51" s="26"/>
      <c r="N51" s="27"/>
      <c r="O51" s="26">
        <v>2410.4</v>
      </c>
      <c r="P51" s="26">
        <v>202930</v>
      </c>
      <c r="Q51" s="27">
        <v>202930</v>
      </c>
      <c r="R51" s="27"/>
      <c r="S51" s="28">
        <f t="shared" si="2"/>
        <v>0</v>
      </c>
      <c r="T51" s="27">
        <f t="shared" si="18"/>
        <v>0</v>
      </c>
      <c r="U51" s="421">
        <f t="shared" si="19"/>
        <v>0</v>
      </c>
      <c r="AA51" s="618"/>
    </row>
    <row r="52" spans="1:27" ht="15" x14ac:dyDescent="0.25">
      <c r="A52" s="770"/>
      <c r="B52" s="768"/>
      <c r="C52" s="77" t="s">
        <v>65</v>
      </c>
      <c r="D52" s="77"/>
      <c r="E52" s="77"/>
      <c r="F52" s="77"/>
      <c r="G52" s="77"/>
      <c r="H52" s="77"/>
      <c r="I52" s="63">
        <f>25266+1975-2735</f>
        <v>24506</v>
      </c>
      <c r="J52" s="63">
        <v>29035</v>
      </c>
      <c r="K52" s="27">
        <v>28418</v>
      </c>
      <c r="L52" s="27">
        <v>20267.02</v>
      </c>
      <c r="M52" s="26">
        <v>19677.18</v>
      </c>
      <c r="N52" s="27">
        <v>14953.06</v>
      </c>
      <c r="O52" s="26">
        <v>28154.6</v>
      </c>
      <c r="P52" s="26"/>
      <c r="Q52" s="27"/>
      <c r="R52" s="27"/>
      <c r="S52" s="28">
        <f t="shared" si="2"/>
        <v>0</v>
      </c>
      <c r="T52" s="27">
        <f t="shared" si="18"/>
        <v>0</v>
      </c>
      <c r="U52" s="421">
        <f t="shared" si="19"/>
        <v>0</v>
      </c>
      <c r="AA52" s="618"/>
    </row>
    <row r="53" spans="1:27" x14ac:dyDescent="0.2">
      <c r="A53" s="770"/>
      <c r="B53" s="768"/>
      <c r="C53" s="77" t="s">
        <v>66</v>
      </c>
      <c r="D53" s="77"/>
      <c r="E53" s="77"/>
      <c r="F53" s="77"/>
      <c r="G53" s="77"/>
      <c r="H53" s="77"/>
      <c r="I53" s="63">
        <f>19469+134+18</f>
        <v>19621</v>
      </c>
      <c r="J53" s="63">
        <v>15462</v>
      </c>
      <c r="K53" s="27">
        <v>15205</v>
      </c>
      <c r="L53" s="27">
        <v>17827.7</v>
      </c>
      <c r="M53" s="26">
        <v>16873.900000000001</v>
      </c>
      <c r="N53" s="27">
        <v>18524.400000000001</v>
      </c>
      <c r="O53" s="26">
        <v>107327.38</v>
      </c>
      <c r="P53" s="26">
        <v>20421</v>
      </c>
      <c r="Q53" s="27">
        <v>16000</v>
      </c>
      <c r="R53" s="27">
        <v>20000</v>
      </c>
      <c r="S53" s="28">
        <f t="shared" si="2"/>
        <v>1.25</v>
      </c>
      <c r="T53" s="27">
        <f t="shared" si="18"/>
        <v>20000</v>
      </c>
      <c r="U53" s="421">
        <f t="shared" si="19"/>
        <v>20000</v>
      </c>
    </row>
    <row r="54" spans="1:27" x14ac:dyDescent="0.2">
      <c r="A54" s="770"/>
      <c r="B54" s="768"/>
      <c r="C54" s="86" t="s">
        <v>67</v>
      </c>
      <c r="D54" s="86"/>
      <c r="E54" s="86"/>
      <c r="F54" s="86"/>
      <c r="G54" s="86"/>
      <c r="H54" s="86"/>
      <c r="I54" s="96">
        <v>136368</v>
      </c>
      <c r="J54" s="63">
        <v>127040</v>
      </c>
      <c r="K54" s="27">
        <f>149434+40</f>
        <v>149474</v>
      </c>
      <c r="L54" s="27">
        <v>154903.56</v>
      </c>
      <c r="M54" s="51">
        <v>163189.57</v>
      </c>
      <c r="N54" s="52">
        <v>121087.25</v>
      </c>
      <c r="O54" s="51">
        <v>49349.66</v>
      </c>
      <c r="P54" s="51">
        <v>100448.22</v>
      </c>
      <c r="Q54" s="52">
        <v>121000</v>
      </c>
      <c r="R54" s="52">
        <v>100500</v>
      </c>
      <c r="S54" s="28">
        <f t="shared" si="2"/>
        <v>0.83057851239669422</v>
      </c>
      <c r="T54" s="52">
        <f t="shared" si="18"/>
        <v>100500</v>
      </c>
      <c r="U54" s="635">
        <f t="shared" si="19"/>
        <v>100500</v>
      </c>
    </row>
    <row r="55" spans="1:27" x14ac:dyDescent="0.2">
      <c r="A55" s="770"/>
      <c r="B55" s="768"/>
      <c r="C55" s="86" t="s">
        <v>68</v>
      </c>
      <c r="D55" s="86"/>
      <c r="E55" s="86"/>
      <c r="F55" s="86"/>
      <c r="G55" s="86"/>
      <c r="H55" s="86"/>
      <c r="I55" s="96">
        <v>60412</v>
      </c>
      <c r="J55" s="63">
        <v>44729</v>
      </c>
      <c r="K55" s="27">
        <v>51770</v>
      </c>
      <c r="L55" s="27">
        <v>49600.39</v>
      </c>
      <c r="M55" s="51">
        <v>49002.82</v>
      </c>
      <c r="N55" s="52">
        <v>48758.66</v>
      </c>
      <c r="O55" s="51">
        <v>11897.8</v>
      </c>
      <c r="P55" s="51">
        <v>48198.720000000001</v>
      </c>
      <c r="Q55" s="52">
        <v>63000</v>
      </c>
      <c r="R55" s="52">
        <v>48000</v>
      </c>
      <c r="S55" s="28">
        <f t="shared" si="2"/>
        <v>0.76190476190476186</v>
      </c>
      <c r="T55" s="52">
        <f t="shared" si="18"/>
        <v>48000</v>
      </c>
      <c r="U55" s="635">
        <f t="shared" si="19"/>
        <v>48000</v>
      </c>
    </row>
    <row r="56" spans="1:27" x14ac:dyDescent="0.2">
      <c r="A56" s="770"/>
      <c r="B56" s="768"/>
      <c r="C56" s="86" t="s">
        <v>69</v>
      </c>
      <c r="D56" s="86"/>
      <c r="E56" s="86"/>
      <c r="F56" s="86"/>
      <c r="G56" s="86"/>
      <c r="H56" s="86"/>
      <c r="I56" s="96"/>
      <c r="J56" s="63"/>
      <c r="K56" s="27"/>
      <c r="L56" s="27">
        <v>760.76</v>
      </c>
      <c r="M56" s="51"/>
      <c r="N56" s="52">
        <v>3813</v>
      </c>
      <c r="O56" s="51">
        <v>6856.9</v>
      </c>
      <c r="P56" s="51">
        <v>669.90000000000009</v>
      </c>
      <c r="Q56" s="52">
        <v>30000</v>
      </c>
      <c r="R56" s="52"/>
      <c r="S56" s="28">
        <f t="shared" si="2"/>
        <v>0</v>
      </c>
      <c r="T56" s="52">
        <f t="shared" si="18"/>
        <v>0</v>
      </c>
      <c r="U56" s="635">
        <f t="shared" si="19"/>
        <v>0</v>
      </c>
    </row>
    <row r="57" spans="1:27" ht="13.5" thickBot="1" x14ac:dyDescent="0.25">
      <c r="A57" s="770"/>
      <c r="B57" s="768"/>
      <c r="C57" s="86" t="s">
        <v>70</v>
      </c>
      <c r="D57" s="86"/>
      <c r="E57" s="86"/>
      <c r="F57" s="86"/>
      <c r="G57" s="86"/>
      <c r="H57" s="86"/>
      <c r="I57" s="96">
        <f>111+179602</f>
        <v>179713</v>
      </c>
      <c r="J57" s="63">
        <f>91+133410</f>
        <v>133501</v>
      </c>
      <c r="K57" s="27">
        <f>60+137299+3496</f>
        <v>140855</v>
      </c>
      <c r="L57" s="27">
        <v>208009.77</v>
      </c>
      <c r="M57" s="51">
        <v>203428.27</v>
      </c>
      <c r="N57" s="52">
        <v>207559.37</v>
      </c>
      <c r="O57" s="51">
        <v>210825.28999999998</v>
      </c>
      <c r="P57" s="51">
        <f>413807.08-202930</f>
        <v>210877.08000000002</v>
      </c>
      <c r="Q57" s="52">
        <v>158900</v>
      </c>
      <c r="R57" s="52">
        <v>169400</v>
      </c>
      <c r="S57" s="34">
        <f t="shared" si="2"/>
        <v>1.0660792951541851</v>
      </c>
      <c r="T57" s="52">
        <f t="shared" si="18"/>
        <v>169400</v>
      </c>
      <c r="U57" s="635">
        <f t="shared" si="19"/>
        <v>169400</v>
      </c>
    </row>
    <row r="58" spans="1:27" ht="13.5" thickBot="1" x14ac:dyDescent="0.25">
      <c r="A58" s="770"/>
      <c r="B58" s="80">
        <v>229</v>
      </c>
      <c r="C58" s="80" t="s">
        <v>71</v>
      </c>
      <c r="D58" s="82">
        <f>D59</f>
        <v>3054</v>
      </c>
      <c r="E58" s="82">
        <f>E59</f>
        <v>2722</v>
      </c>
      <c r="F58" s="82">
        <f>F59</f>
        <v>2921</v>
      </c>
      <c r="G58" s="82">
        <f>G59</f>
        <v>2475</v>
      </c>
      <c r="H58" s="82">
        <f>H59</f>
        <v>2568</v>
      </c>
      <c r="I58" s="82">
        <f t="shared" ref="I58:U58" si="20">I59</f>
        <v>2375</v>
      </c>
      <c r="J58" s="82">
        <f t="shared" si="20"/>
        <v>2068</v>
      </c>
      <c r="K58" s="83">
        <f t="shared" si="20"/>
        <v>2476</v>
      </c>
      <c r="L58" s="83">
        <f t="shared" si="20"/>
        <v>2040.04</v>
      </c>
      <c r="M58" s="83">
        <f t="shared" si="20"/>
        <v>2144.59</v>
      </c>
      <c r="N58" s="85">
        <f t="shared" si="20"/>
        <v>2002.17</v>
      </c>
      <c r="O58" s="85">
        <f t="shared" si="20"/>
        <v>2067.84</v>
      </c>
      <c r="P58" s="85">
        <f t="shared" si="20"/>
        <v>1622.84</v>
      </c>
      <c r="Q58" s="85">
        <f t="shared" si="20"/>
        <v>1800</v>
      </c>
      <c r="R58" s="85">
        <f t="shared" si="20"/>
        <v>0</v>
      </c>
      <c r="S58" s="10">
        <f t="shared" si="2"/>
        <v>0</v>
      </c>
      <c r="T58" s="85">
        <f t="shared" si="20"/>
        <v>0</v>
      </c>
      <c r="U58" s="634">
        <f t="shared" si="20"/>
        <v>0</v>
      </c>
    </row>
    <row r="59" spans="1:27" ht="13.5" thickBot="1" x14ac:dyDescent="0.25">
      <c r="A59" s="771"/>
      <c r="B59" s="97"/>
      <c r="C59" s="97" t="s">
        <v>72</v>
      </c>
      <c r="D59" s="97">
        <v>3054</v>
      </c>
      <c r="E59" s="97">
        <v>2722</v>
      </c>
      <c r="F59" s="97">
        <v>2921</v>
      </c>
      <c r="G59" s="97">
        <v>2475</v>
      </c>
      <c r="H59" s="97">
        <v>2568</v>
      </c>
      <c r="I59" s="97">
        <v>2375</v>
      </c>
      <c r="J59" s="97">
        <v>2068</v>
      </c>
      <c r="K59" s="98">
        <v>2476</v>
      </c>
      <c r="L59" s="98">
        <v>2040.04</v>
      </c>
      <c r="M59" s="99">
        <v>2144.59</v>
      </c>
      <c r="N59" s="100">
        <v>2002.17</v>
      </c>
      <c r="O59" s="99">
        <v>2067.84</v>
      </c>
      <c r="P59" s="100">
        <v>1622.84</v>
      </c>
      <c r="Q59" s="100">
        <v>1800</v>
      </c>
      <c r="R59" s="100"/>
      <c r="S59" s="101">
        <f t="shared" si="2"/>
        <v>0</v>
      </c>
      <c r="T59" s="100"/>
      <c r="U59" s="638"/>
    </row>
    <row r="60" spans="1:27" ht="15.75" thickBot="1" x14ac:dyDescent="0.3">
      <c r="A60" s="102">
        <v>240</v>
      </c>
      <c r="B60" s="772" t="s">
        <v>73</v>
      </c>
      <c r="C60" s="773"/>
      <c r="D60" s="103">
        <f t="shared" ref="D60:R60" si="21">SUM(D61:D61)</f>
        <v>27352</v>
      </c>
      <c r="E60" s="103">
        <f t="shared" si="21"/>
        <v>10390</v>
      </c>
      <c r="F60" s="103">
        <f t="shared" si="21"/>
        <v>16730</v>
      </c>
      <c r="G60" s="103">
        <f t="shared" si="21"/>
        <v>5867</v>
      </c>
      <c r="H60" s="103">
        <f t="shared" si="21"/>
        <v>6403</v>
      </c>
      <c r="I60" s="103">
        <f t="shared" si="21"/>
        <v>3943</v>
      </c>
      <c r="J60" s="103">
        <f t="shared" si="21"/>
        <v>3352</v>
      </c>
      <c r="K60" s="103">
        <f t="shared" si="21"/>
        <v>1988</v>
      </c>
      <c r="L60" s="104">
        <f t="shared" si="21"/>
        <v>1226.92</v>
      </c>
      <c r="M60" s="103">
        <f t="shared" si="21"/>
        <v>445.87</v>
      </c>
      <c r="N60" s="105">
        <f t="shared" si="21"/>
        <v>2584.38</v>
      </c>
      <c r="O60" s="105">
        <f t="shared" si="21"/>
        <v>1160.94</v>
      </c>
      <c r="P60" s="105">
        <f t="shared" si="21"/>
        <v>1818.95</v>
      </c>
      <c r="Q60" s="105">
        <f t="shared" si="21"/>
        <v>0</v>
      </c>
      <c r="R60" s="105">
        <f t="shared" si="21"/>
        <v>0</v>
      </c>
      <c r="S60" s="10">
        <f t="shared" si="2"/>
        <v>0</v>
      </c>
      <c r="T60" s="10"/>
      <c r="U60" s="639"/>
    </row>
    <row r="61" spans="1:27" ht="15.75" thickBot="1" x14ac:dyDescent="0.3">
      <c r="A61" s="612"/>
      <c r="B61" s="613"/>
      <c r="C61" s="106" t="s">
        <v>74</v>
      </c>
      <c r="D61" s="106">
        <v>27352</v>
      </c>
      <c r="E61" s="106">
        <v>10390</v>
      </c>
      <c r="F61" s="106">
        <v>16730</v>
      </c>
      <c r="G61" s="106">
        <v>5867</v>
      </c>
      <c r="H61" s="106">
        <v>6403</v>
      </c>
      <c r="I61" s="106">
        <v>3943</v>
      </c>
      <c r="J61" s="106">
        <v>3352</v>
      </c>
      <c r="K61" s="107">
        <v>1988</v>
      </c>
      <c r="L61" s="107">
        <v>1226.92</v>
      </c>
      <c r="M61" s="108">
        <v>445.87</v>
      </c>
      <c r="N61" s="109">
        <v>2584.38</v>
      </c>
      <c r="O61" s="108">
        <v>1160.94</v>
      </c>
      <c r="P61" s="109">
        <v>1818.95</v>
      </c>
      <c r="Q61" s="109"/>
      <c r="R61" s="109"/>
      <c r="S61" s="10">
        <f t="shared" si="2"/>
        <v>0</v>
      </c>
      <c r="T61" s="10"/>
      <c r="U61" s="639"/>
    </row>
    <row r="62" spans="1:27" ht="15.75" thickBot="1" x14ac:dyDescent="0.3">
      <c r="A62" s="102">
        <v>290</v>
      </c>
      <c r="B62" s="774" t="s">
        <v>75</v>
      </c>
      <c r="C62" s="775"/>
      <c r="D62" s="110">
        <f>D63</f>
        <v>56396</v>
      </c>
      <c r="E62" s="110">
        <f>E63</f>
        <v>21078</v>
      </c>
      <c r="F62" s="110">
        <f>F63</f>
        <v>316039</v>
      </c>
      <c r="G62" s="110">
        <f>G63</f>
        <v>123165</v>
      </c>
      <c r="H62" s="110">
        <v>59959</v>
      </c>
      <c r="I62" s="110">
        <f t="shared" ref="I62:R62" si="22">I63</f>
        <v>166050</v>
      </c>
      <c r="J62" s="110">
        <f t="shared" si="22"/>
        <v>55155</v>
      </c>
      <c r="K62" s="110">
        <f t="shared" si="22"/>
        <v>92423</v>
      </c>
      <c r="L62" s="110">
        <f t="shared" si="22"/>
        <v>73212.12000000001</v>
      </c>
      <c r="M62" s="111">
        <f t="shared" si="22"/>
        <v>97470.49</v>
      </c>
      <c r="N62" s="112">
        <f t="shared" si="22"/>
        <v>73802.559999999983</v>
      </c>
      <c r="O62" s="113">
        <f t="shared" si="22"/>
        <v>45550.070000000007</v>
      </c>
      <c r="P62" s="112">
        <f t="shared" si="22"/>
        <v>56207.21</v>
      </c>
      <c r="Q62" s="112">
        <f t="shared" si="22"/>
        <v>27000</v>
      </c>
      <c r="R62" s="112">
        <f t="shared" si="22"/>
        <v>27000</v>
      </c>
      <c r="S62" s="10">
        <f t="shared" si="2"/>
        <v>1</v>
      </c>
      <c r="T62" s="112">
        <f>T63</f>
        <v>27000</v>
      </c>
      <c r="U62" s="640">
        <f>U63</f>
        <v>27000</v>
      </c>
    </row>
    <row r="63" spans="1:27" ht="13.5" thickBot="1" x14ac:dyDescent="0.25">
      <c r="A63" s="755"/>
      <c r="B63" s="81">
        <v>292</v>
      </c>
      <c r="C63" s="81" t="s">
        <v>75</v>
      </c>
      <c r="D63" s="81">
        <v>56396</v>
      </c>
      <c r="E63" s="81">
        <v>21078</v>
      </c>
      <c r="F63" s="81">
        <v>316039</v>
      </c>
      <c r="G63" s="81">
        <v>123165</v>
      </c>
      <c r="H63" s="81">
        <v>59959</v>
      </c>
      <c r="I63" s="83">
        <f t="shared" ref="I63:R63" si="23">SUM(I64:I68)</f>
        <v>166050</v>
      </c>
      <c r="J63" s="83">
        <f t="shared" si="23"/>
        <v>55155</v>
      </c>
      <c r="K63" s="83">
        <f t="shared" si="23"/>
        <v>92423</v>
      </c>
      <c r="L63" s="83">
        <f t="shared" si="23"/>
        <v>73212.12000000001</v>
      </c>
      <c r="M63" s="84">
        <f t="shared" si="23"/>
        <v>97470.49</v>
      </c>
      <c r="N63" s="85">
        <f t="shared" si="23"/>
        <v>73802.559999999983</v>
      </c>
      <c r="O63" s="90">
        <f t="shared" si="23"/>
        <v>45550.070000000007</v>
      </c>
      <c r="P63" s="90">
        <f t="shared" si="23"/>
        <v>56207.21</v>
      </c>
      <c r="Q63" s="85">
        <f t="shared" si="23"/>
        <v>27000</v>
      </c>
      <c r="R63" s="85">
        <f t="shared" si="23"/>
        <v>27000</v>
      </c>
      <c r="S63" s="10">
        <f t="shared" si="2"/>
        <v>1</v>
      </c>
      <c r="T63" s="85">
        <f>SUM(T64:T68)</f>
        <v>27000</v>
      </c>
      <c r="U63" s="634">
        <f>SUM(U64:U68)</f>
        <v>27000</v>
      </c>
    </row>
    <row r="64" spans="1:27" x14ac:dyDescent="0.2">
      <c r="A64" s="756"/>
      <c r="B64" s="764"/>
      <c r="C64" s="114" t="s">
        <v>76</v>
      </c>
      <c r="D64" s="114"/>
      <c r="E64" s="114"/>
      <c r="F64" s="114"/>
      <c r="G64" s="114"/>
      <c r="H64" s="114"/>
      <c r="I64" s="18">
        <v>19700</v>
      </c>
      <c r="J64" s="18">
        <v>19300</v>
      </c>
      <c r="K64" s="27">
        <v>29700</v>
      </c>
      <c r="L64" s="27">
        <v>27700</v>
      </c>
      <c r="M64" s="48">
        <v>46500</v>
      </c>
      <c r="N64" s="49">
        <v>35700</v>
      </c>
      <c r="O64" s="48">
        <v>7205</v>
      </c>
      <c r="P64" s="48"/>
      <c r="Q64" s="49"/>
      <c r="R64" s="49">
        <v>0</v>
      </c>
      <c r="S64" s="22">
        <f t="shared" si="2"/>
        <v>0</v>
      </c>
      <c r="T64" s="49">
        <f>R64</f>
        <v>0</v>
      </c>
      <c r="U64" s="395">
        <f>T64</f>
        <v>0</v>
      </c>
    </row>
    <row r="65" spans="1:24" x14ac:dyDescent="0.2">
      <c r="A65" s="756"/>
      <c r="B65" s="765"/>
      <c r="C65" s="115" t="s">
        <v>77</v>
      </c>
      <c r="D65" s="115"/>
      <c r="E65" s="115"/>
      <c r="F65" s="115"/>
      <c r="G65" s="115"/>
      <c r="H65" s="115"/>
      <c r="I65" s="116">
        <v>37534</v>
      </c>
      <c r="J65" s="116">
        <v>14000</v>
      </c>
      <c r="K65" s="27">
        <v>2888</v>
      </c>
      <c r="L65" s="27">
        <v>313.32</v>
      </c>
      <c r="M65" s="48">
        <v>6641.91</v>
      </c>
      <c r="N65" s="49">
        <v>434.45</v>
      </c>
      <c r="O65" s="48">
        <v>5635.97</v>
      </c>
      <c r="P65" s="48"/>
      <c r="Q65" s="49"/>
      <c r="R65" s="49">
        <v>0</v>
      </c>
      <c r="S65" s="28">
        <f t="shared" si="2"/>
        <v>0</v>
      </c>
      <c r="T65" s="49">
        <f>R65</f>
        <v>0</v>
      </c>
      <c r="U65" s="395">
        <f>T65</f>
        <v>0</v>
      </c>
    </row>
    <row r="66" spans="1:24" x14ac:dyDescent="0.2">
      <c r="A66" s="756"/>
      <c r="B66" s="765"/>
      <c r="C66" s="115" t="s">
        <v>75</v>
      </c>
      <c r="D66" s="115"/>
      <c r="E66" s="115"/>
      <c r="F66" s="115"/>
      <c r="G66" s="115"/>
      <c r="H66" s="115"/>
      <c r="I66" s="116">
        <v>106407</v>
      </c>
      <c r="J66" s="116">
        <v>19147</v>
      </c>
      <c r="K66" s="27">
        <f>16091+34106+2444+185+641+2733+114-32+43+286+668</f>
        <v>57279</v>
      </c>
      <c r="L66" s="27">
        <v>42730.559999999998</v>
      </c>
      <c r="M66" s="48">
        <v>42300.639999999999</v>
      </c>
      <c r="N66" s="49">
        <v>35668.57</v>
      </c>
      <c r="O66" s="48">
        <v>30698.190000000002</v>
      </c>
      <c r="P66" s="48">
        <v>54103.22</v>
      </c>
      <c r="Q66" s="49">
        <v>25000</v>
      </c>
      <c r="R66" s="49">
        <v>25000</v>
      </c>
      <c r="S66" s="28">
        <f t="shared" si="2"/>
        <v>1</v>
      </c>
      <c r="T66" s="49">
        <f>R66</f>
        <v>25000</v>
      </c>
      <c r="U66" s="395">
        <f>T66</f>
        <v>25000</v>
      </c>
    </row>
    <row r="67" spans="1:24" ht="13.5" thickBot="1" x14ac:dyDescent="0.25">
      <c r="A67" s="756"/>
      <c r="B67" s="765"/>
      <c r="C67" s="117" t="s">
        <v>78</v>
      </c>
      <c r="D67" s="117"/>
      <c r="E67" s="117"/>
      <c r="F67" s="117"/>
      <c r="G67" s="117"/>
      <c r="H67" s="117"/>
      <c r="I67" s="24">
        <v>2409</v>
      </c>
      <c r="J67" s="24">
        <v>2708</v>
      </c>
      <c r="K67" s="27">
        <v>2556</v>
      </c>
      <c r="L67" s="27">
        <v>2468.2399999999998</v>
      </c>
      <c r="M67" s="118">
        <v>2027.94</v>
      </c>
      <c r="N67" s="25">
        <v>1999.54</v>
      </c>
      <c r="O67" s="118">
        <v>2010.91</v>
      </c>
      <c r="P67" s="118">
        <v>2103.9899999999998</v>
      </c>
      <c r="Q67" s="25">
        <v>2000</v>
      </c>
      <c r="R67" s="25">
        <v>2000</v>
      </c>
      <c r="S67" s="28">
        <f t="shared" si="2"/>
        <v>1</v>
      </c>
      <c r="T67" s="25">
        <f>R67</f>
        <v>2000</v>
      </c>
      <c r="U67" s="641">
        <f>T67</f>
        <v>2000</v>
      </c>
    </row>
    <row r="68" spans="1:24" ht="13.5" hidden="1" thickBot="1" x14ac:dyDescent="0.25">
      <c r="A68" s="763"/>
      <c r="B68" s="766"/>
      <c r="C68" s="119" t="s">
        <v>79</v>
      </c>
      <c r="D68" s="119"/>
      <c r="E68" s="119"/>
      <c r="F68" s="119"/>
      <c r="G68" s="119"/>
      <c r="H68" s="119"/>
      <c r="I68" s="119"/>
      <c r="J68" s="119"/>
      <c r="K68" s="30"/>
      <c r="L68" s="31"/>
      <c r="M68" s="31"/>
      <c r="N68" s="31"/>
      <c r="O68" s="31"/>
      <c r="P68" s="31"/>
      <c r="Q68" s="31"/>
      <c r="R68" s="31"/>
      <c r="S68" s="120">
        <f t="shared" si="2"/>
        <v>0</v>
      </c>
      <c r="T68" s="120"/>
      <c r="U68" s="642"/>
    </row>
    <row r="69" spans="1:24" ht="16.5" thickBot="1" x14ac:dyDescent="0.3">
      <c r="A69" s="66">
        <v>300</v>
      </c>
      <c r="B69" s="776" t="s">
        <v>80</v>
      </c>
      <c r="C69" s="777"/>
      <c r="D69" s="121">
        <f t="shared" ref="D69:R69" si="24">D70+D107</f>
        <v>1842129</v>
      </c>
      <c r="E69" s="121">
        <f t="shared" si="24"/>
        <v>1999701</v>
      </c>
      <c r="F69" s="121">
        <f t="shared" si="24"/>
        <v>2077242</v>
      </c>
      <c r="G69" s="121">
        <f t="shared" si="24"/>
        <v>2645110</v>
      </c>
      <c r="H69" s="121">
        <f t="shared" si="24"/>
        <v>2979865</v>
      </c>
      <c r="I69" s="121">
        <f t="shared" si="24"/>
        <v>2749519</v>
      </c>
      <c r="J69" s="121">
        <f t="shared" si="24"/>
        <v>2901991</v>
      </c>
      <c r="K69" s="121">
        <f t="shared" si="24"/>
        <v>3466649</v>
      </c>
      <c r="L69" s="121">
        <f>L70+L107</f>
        <v>3450076.55</v>
      </c>
      <c r="M69" s="122">
        <f t="shared" si="24"/>
        <v>3251492.52</v>
      </c>
      <c r="N69" s="123">
        <f t="shared" si="24"/>
        <v>3217895.6500000008</v>
      </c>
      <c r="O69" s="123">
        <f t="shared" si="24"/>
        <v>3083446.5600000005</v>
      </c>
      <c r="P69" s="124">
        <f>P70+P107</f>
        <v>3121193.3499999996</v>
      </c>
      <c r="Q69" s="123">
        <f>Q70+Q107</f>
        <v>3308615</v>
      </c>
      <c r="R69" s="123">
        <f t="shared" si="24"/>
        <v>3137960</v>
      </c>
      <c r="S69" s="10">
        <f t="shared" si="2"/>
        <v>0.94842101604447782</v>
      </c>
      <c r="T69" s="123">
        <f>T70+T107</f>
        <v>2999212</v>
      </c>
      <c r="U69" s="643">
        <f>U70+U107</f>
        <v>2839856</v>
      </c>
    </row>
    <row r="70" spans="1:24" ht="15.75" thickBot="1" x14ac:dyDescent="0.3">
      <c r="A70" s="35">
        <v>310</v>
      </c>
      <c r="B70" s="760" t="s">
        <v>81</v>
      </c>
      <c r="C70" s="761"/>
      <c r="D70" s="87">
        <f t="shared" ref="D70:R70" si="25">D71+D73</f>
        <v>1842129</v>
      </c>
      <c r="E70" s="87">
        <f t="shared" si="25"/>
        <v>1999701</v>
      </c>
      <c r="F70" s="87">
        <f t="shared" si="25"/>
        <v>2077242</v>
      </c>
      <c r="G70" s="87">
        <f t="shared" si="25"/>
        <v>2645110</v>
      </c>
      <c r="H70" s="87">
        <f t="shared" si="25"/>
        <v>2958818</v>
      </c>
      <c r="I70" s="87">
        <f t="shared" si="25"/>
        <v>2721164</v>
      </c>
      <c r="J70" s="87">
        <f t="shared" si="25"/>
        <v>2862933</v>
      </c>
      <c r="K70" s="87">
        <f t="shared" si="25"/>
        <v>3457133</v>
      </c>
      <c r="L70" s="87">
        <f>L71+L73</f>
        <v>3450076.55</v>
      </c>
      <c r="M70" s="88">
        <f t="shared" si="25"/>
        <v>3251492.52</v>
      </c>
      <c r="N70" s="89">
        <f>N71+N73</f>
        <v>3217895.6500000008</v>
      </c>
      <c r="O70" s="89">
        <f>O71+O73</f>
        <v>3083446.5600000005</v>
      </c>
      <c r="P70" s="125">
        <f>P71+P73</f>
        <v>3121193.3499999996</v>
      </c>
      <c r="Q70" s="89">
        <f>Q71+Q73</f>
        <v>3308615</v>
      </c>
      <c r="R70" s="89">
        <f t="shared" si="25"/>
        <v>3137960</v>
      </c>
      <c r="S70" s="10">
        <f t="shared" si="2"/>
        <v>0.94842101604447782</v>
      </c>
      <c r="T70" s="89">
        <f>T71+T73</f>
        <v>2999212</v>
      </c>
      <c r="U70" s="636">
        <f>U71+U73</f>
        <v>2839856</v>
      </c>
    </row>
    <row r="71" spans="1:24" ht="13.5" thickBot="1" x14ac:dyDescent="0.25">
      <c r="A71" s="755"/>
      <c r="B71" s="126">
        <v>311</v>
      </c>
      <c r="C71" s="80" t="s">
        <v>82</v>
      </c>
      <c r="D71" s="127">
        <f t="shared" ref="D71:M71" si="26">SUM(D72:D72)</f>
        <v>0</v>
      </c>
      <c r="E71" s="127">
        <f t="shared" si="26"/>
        <v>23003</v>
      </c>
      <c r="F71" s="127">
        <f t="shared" si="26"/>
        <v>14107</v>
      </c>
      <c r="G71" s="127">
        <f t="shared" si="26"/>
        <v>9307</v>
      </c>
      <c r="H71" s="127">
        <f t="shared" si="26"/>
        <v>19495</v>
      </c>
      <c r="I71" s="127">
        <f t="shared" si="26"/>
        <v>11396</v>
      </c>
      <c r="J71" s="127">
        <f t="shared" si="26"/>
        <v>19287</v>
      </c>
      <c r="K71" s="83">
        <f t="shared" si="26"/>
        <v>18260</v>
      </c>
      <c r="L71" s="83">
        <f t="shared" si="26"/>
        <v>700</v>
      </c>
      <c r="M71" s="84">
        <f t="shared" si="26"/>
        <v>4100</v>
      </c>
      <c r="N71" s="43">
        <f>N72</f>
        <v>4000</v>
      </c>
      <c r="O71" s="128">
        <f>O72</f>
        <v>3010</v>
      </c>
      <c r="P71" s="128">
        <f>P72</f>
        <v>5900</v>
      </c>
      <c r="Q71" s="43">
        <f>Q72</f>
        <v>0</v>
      </c>
      <c r="R71" s="43">
        <f>R72</f>
        <v>0</v>
      </c>
      <c r="S71" s="10">
        <f t="shared" si="2"/>
        <v>0</v>
      </c>
      <c r="T71" s="43">
        <f>T72</f>
        <v>0</v>
      </c>
      <c r="U71" s="628">
        <f>U72</f>
        <v>0</v>
      </c>
    </row>
    <row r="72" spans="1:24" ht="13.5" thickBot="1" x14ac:dyDescent="0.25">
      <c r="A72" s="756"/>
      <c r="B72" s="610"/>
      <c r="C72" s="60" t="s">
        <v>83</v>
      </c>
      <c r="D72" s="60">
        <v>0</v>
      </c>
      <c r="E72" s="60">
        <v>23003</v>
      </c>
      <c r="F72" s="60">
        <v>14107</v>
      </c>
      <c r="G72" s="60">
        <v>9307</v>
      </c>
      <c r="H72" s="60">
        <v>19495</v>
      </c>
      <c r="I72" s="60">
        <v>11396</v>
      </c>
      <c r="J72" s="60">
        <v>19287</v>
      </c>
      <c r="K72" s="75">
        <v>18260</v>
      </c>
      <c r="L72" s="91">
        <v>700</v>
      </c>
      <c r="M72" s="48">
        <v>4100</v>
      </c>
      <c r="N72" s="49">
        <v>4000</v>
      </c>
      <c r="O72" s="48">
        <v>3010</v>
      </c>
      <c r="P72" s="48">
        <v>5900</v>
      </c>
      <c r="Q72" s="49"/>
      <c r="R72" s="49"/>
      <c r="S72" s="10">
        <f t="shared" ref="S72:S110" si="27">IF(Q72=0,0,R72/Q72)</f>
        <v>0</v>
      </c>
      <c r="T72" s="49"/>
      <c r="U72" s="395"/>
    </row>
    <row r="73" spans="1:24" ht="13.5" thickBot="1" x14ac:dyDescent="0.25">
      <c r="A73" s="756"/>
      <c r="B73" s="39">
        <v>312</v>
      </c>
      <c r="C73" s="39" t="s">
        <v>84</v>
      </c>
      <c r="D73" s="39">
        <v>1842129</v>
      </c>
      <c r="E73" s="39">
        <v>1976698</v>
      </c>
      <c r="F73" s="39">
        <v>2063135</v>
      </c>
      <c r="G73" s="39">
        <v>2635803</v>
      </c>
      <c r="H73" s="39">
        <v>2939323</v>
      </c>
      <c r="I73" s="57">
        <f>SUM(I74:I106)</f>
        <v>2709768</v>
      </c>
      <c r="J73" s="57">
        <f>SUM(J74:J106)</f>
        <v>2843646</v>
      </c>
      <c r="K73" s="57">
        <f>SUM(K74:K106)</f>
        <v>3438873</v>
      </c>
      <c r="L73" s="57">
        <v>3449376.55</v>
      </c>
      <c r="M73" s="58">
        <f t="shared" ref="M73:R73" si="28">SUM(M74:M106)</f>
        <v>3247392.52</v>
      </c>
      <c r="N73" s="59">
        <f t="shared" si="28"/>
        <v>3213895.6500000008</v>
      </c>
      <c r="O73" s="129">
        <f t="shared" si="28"/>
        <v>3080436.5600000005</v>
      </c>
      <c r="P73" s="129">
        <f t="shared" si="28"/>
        <v>3115293.3499999996</v>
      </c>
      <c r="Q73" s="59">
        <f t="shared" si="28"/>
        <v>3308615</v>
      </c>
      <c r="R73" s="59">
        <f t="shared" si="28"/>
        <v>3137960</v>
      </c>
      <c r="S73" s="10">
        <f t="shared" si="27"/>
        <v>0.94842101604447782</v>
      </c>
      <c r="T73" s="59">
        <f>SUM(T74:T106)</f>
        <v>2999212</v>
      </c>
      <c r="U73" s="629">
        <f>SUM(U74:U106)</f>
        <v>2839856</v>
      </c>
      <c r="X73" s="616"/>
    </row>
    <row r="74" spans="1:24" x14ac:dyDescent="0.2">
      <c r="A74" s="756"/>
      <c r="B74" s="789"/>
      <c r="C74" s="60" t="s">
        <v>85</v>
      </c>
      <c r="D74" s="60"/>
      <c r="E74" s="60"/>
      <c r="F74" s="60"/>
      <c r="G74" s="60"/>
      <c r="H74" s="60"/>
      <c r="I74" s="60">
        <v>23695</v>
      </c>
      <c r="J74" s="60">
        <v>17245</v>
      </c>
      <c r="K74" s="27">
        <v>10901</v>
      </c>
      <c r="L74" s="49">
        <v>11158.85</v>
      </c>
      <c r="M74" s="130">
        <v>11477.1</v>
      </c>
      <c r="N74" s="21">
        <v>11818.38</v>
      </c>
      <c r="O74" s="20">
        <v>12154.95</v>
      </c>
      <c r="P74" s="20">
        <v>13029.32</v>
      </c>
      <c r="Q74" s="21">
        <v>12155</v>
      </c>
      <c r="R74" s="21">
        <v>12155</v>
      </c>
      <c r="S74" s="22">
        <f t="shared" si="27"/>
        <v>1</v>
      </c>
      <c r="T74" s="621">
        <f t="shared" ref="T74:T88" si="29">ROUND(R74*1.035,)</f>
        <v>12580</v>
      </c>
      <c r="U74" s="622">
        <f t="shared" ref="U74:U88" si="30">ROUND(T74*1.035,)</f>
        <v>13020</v>
      </c>
    </row>
    <row r="75" spans="1:24" x14ac:dyDescent="0.2">
      <c r="A75" s="756"/>
      <c r="B75" s="790"/>
      <c r="C75" s="62" t="s">
        <v>86</v>
      </c>
      <c r="D75" s="62"/>
      <c r="E75" s="62"/>
      <c r="F75" s="62"/>
      <c r="G75" s="62"/>
      <c r="H75" s="62"/>
      <c r="I75" s="62">
        <v>2039732</v>
      </c>
      <c r="J75" s="62">
        <v>2219230</v>
      </c>
      <c r="K75" s="27">
        <v>2305975</v>
      </c>
      <c r="L75" s="27">
        <v>2374727</v>
      </c>
      <c r="M75" s="131">
        <v>2385302.7000000002</v>
      </c>
      <c r="N75" s="27">
        <v>2378880.87</v>
      </c>
      <c r="O75" s="26">
        <v>2380478.2000000002</v>
      </c>
      <c r="P75" s="26">
        <v>2366109.5</v>
      </c>
      <c r="Q75" s="27">
        <v>2539197</v>
      </c>
      <c r="R75" s="27">
        <v>2393643</v>
      </c>
      <c r="S75" s="28">
        <f t="shared" si="27"/>
        <v>0.94267715344654235</v>
      </c>
      <c r="T75" s="621">
        <f>R75</f>
        <v>2393643</v>
      </c>
      <c r="U75" s="622">
        <f>T75</f>
        <v>2393643</v>
      </c>
      <c r="X75" s="616"/>
    </row>
    <row r="76" spans="1:24" x14ac:dyDescent="0.2">
      <c r="A76" s="756"/>
      <c r="B76" s="790"/>
      <c r="C76" s="62" t="s">
        <v>87</v>
      </c>
      <c r="D76" s="62"/>
      <c r="E76" s="62"/>
      <c r="F76" s="62"/>
      <c r="G76" s="62"/>
      <c r="H76" s="62"/>
      <c r="I76" s="62">
        <v>18027</v>
      </c>
      <c r="J76" s="62">
        <v>18084</v>
      </c>
      <c r="K76" s="27">
        <v>17994</v>
      </c>
      <c r="L76" s="27">
        <v>18008.52</v>
      </c>
      <c r="M76" s="131">
        <v>18041.07</v>
      </c>
      <c r="N76" s="27">
        <v>17962.95</v>
      </c>
      <c r="O76" s="26">
        <v>17965.740000000002</v>
      </c>
      <c r="P76" s="26">
        <v>21444.09</v>
      </c>
      <c r="Q76" s="27">
        <v>21444</v>
      </c>
      <c r="R76" s="27">
        <v>21444</v>
      </c>
      <c r="S76" s="28">
        <f t="shared" si="27"/>
        <v>1</v>
      </c>
      <c r="T76" s="621">
        <f t="shared" si="29"/>
        <v>22195</v>
      </c>
      <c r="U76" s="622">
        <f t="shared" si="30"/>
        <v>22972</v>
      </c>
    </row>
    <row r="77" spans="1:24" x14ac:dyDescent="0.2">
      <c r="A77" s="756"/>
      <c r="B77" s="790"/>
      <c r="C77" s="62" t="s">
        <v>88</v>
      </c>
      <c r="D77" s="62"/>
      <c r="E77" s="62"/>
      <c r="F77" s="62"/>
      <c r="G77" s="62"/>
      <c r="H77" s="62"/>
      <c r="I77" s="62">
        <v>24577</v>
      </c>
      <c r="J77" s="62">
        <v>25124</v>
      </c>
      <c r="K77" s="27">
        <v>25564</v>
      </c>
      <c r="L77" s="27">
        <v>26022</v>
      </c>
      <c r="M77" s="131">
        <v>26310</v>
      </c>
      <c r="N77" s="27">
        <v>27303</v>
      </c>
      <c r="O77" s="26">
        <v>28388</v>
      </c>
      <c r="P77" s="26">
        <v>29368</v>
      </c>
      <c r="Q77" s="27">
        <v>32000</v>
      </c>
      <c r="R77" s="27">
        <v>32000</v>
      </c>
      <c r="S77" s="28">
        <f>IF(Q77=0,0,R77/Q77)</f>
        <v>1</v>
      </c>
      <c r="T77" s="621">
        <f t="shared" si="29"/>
        <v>33120</v>
      </c>
      <c r="U77" s="622">
        <f t="shared" si="30"/>
        <v>34279</v>
      </c>
    </row>
    <row r="78" spans="1:24" x14ac:dyDescent="0.2">
      <c r="A78" s="756"/>
      <c r="B78" s="790"/>
      <c r="C78" s="62" t="s">
        <v>89</v>
      </c>
      <c r="D78" s="62"/>
      <c r="E78" s="62"/>
      <c r="F78" s="62"/>
      <c r="G78" s="62"/>
      <c r="H78" s="62"/>
      <c r="I78" s="62">
        <v>7039</v>
      </c>
      <c r="J78" s="62">
        <v>7075</v>
      </c>
      <c r="K78" s="27">
        <v>7128</v>
      </c>
      <c r="L78" s="27">
        <v>7141.61</v>
      </c>
      <c r="M78" s="131">
        <v>7157.02</v>
      </c>
      <c r="N78" s="27">
        <v>7145.67</v>
      </c>
      <c r="O78" s="26">
        <v>7146.74</v>
      </c>
      <c r="P78" s="26">
        <v>7180.34</v>
      </c>
      <c r="Q78" s="27">
        <v>7147</v>
      </c>
      <c r="R78" s="27">
        <v>7147</v>
      </c>
      <c r="S78" s="28">
        <f t="shared" si="27"/>
        <v>1</v>
      </c>
      <c r="T78" s="621">
        <f t="shared" si="29"/>
        <v>7397</v>
      </c>
      <c r="U78" s="622">
        <f t="shared" si="30"/>
        <v>7656</v>
      </c>
    </row>
    <row r="79" spans="1:24" x14ac:dyDescent="0.2">
      <c r="A79" s="756"/>
      <c r="B79" s="790"/>
      <c r="C79" s="62" t="s">
        <v>90</v>
      </c>
      <c r="D79" s="62"/>
      <c r="E79" s="62"/>
      <c r="F79" s="62"/>
      <c r="G79" s="62"/>
      <c r="H79" s="62"/>
      <c r="I79" s="62">
        <v>10058</v>
      </c>
      <c r="J79" s="62">
        <v>10551</v>
      </c>
      <c r="K79" s="27">
        <v>6336</v>
      </c>
      <c r="L79" s="27">
        <v>5427.66</v>
      </c>
      <c r="M79" s="131">
        <v>4327.68</v>
      </c>
      <c r="N79" s="27">
        <v>3104.64</v>
      </c>
      <c r="O79" s="26">
        <v>3575.04</v>
      </c>
      <c r="P79" s="26">
        <v>3928.96</v>
      </c>
      <c r="Q79" s="27">
        <v>7000</v>
      </c>
      <c r="R79" s="27">
        <v>3500</v>
      </c>
      <c r="S79" s="28">
        <f t="shared" si="27"/>
        <v>0.5</v>
      </c>
      <c r="T79" s="621">
        <f t="shared" si="29"/>
        <v>3623</v>
      </c>
      <c r="U79" s="622">
        <f t="shared" si="30"/>
        <v>3750</v>
      </c>
    </row>
    <row r="80" spans="1:24" x14ac:dyDescent="0.2">
      <c r="A80" s="756"/>
      <c r="B80" s="790"/>
      <c r="C80" s="62" t="s">
        <v>91</v>
      </c>
      <c r="D80" s="62"/>
      <c r="E80" s="62"/>
      <c r="F80" s="62"/>
      <c r="G80" s="62"/>
      <c r="H80" s="62"/>
      <c r="I80" s="62">
        <v>83191</v>
      </c>
      <c r="J80" s="62">
        <v>97555</v>
      </c>
      <c r="K80" s="27">
        <v>85709</v>
      </c>
      <c r="L80" s="27">
        <v>73418.710000000006</v>
      </c>
      <c r="M80" s="131">
        <v>58497.09</v>
      </c>
      <c r="N80" s="27">
        <v>43283.74</v>
      </c>
      <c r="O80" s="26">
        <v>37015.03</v>
      </c>
      <c r="P80" s="26">
        <v>30847.5</v>
      </c>
      <c r="Q80" s="27">
        <v>55224</v>
      </c>
      <c r="R80" s="27">
        <v>55224</v>
      </c>
      <c r="S80" s="28">
        <f t="shared" si="27"/>
        <v>1</v>
      </c>
      <c r="T80" s="621">
        <f t="shared" si="29"/>
        <v>57157</v>
      </c>
      <c r="U80" s="622">
        <f t="shared" si="30"/>
        <v>59157</v>
      </c>
    </row>
    <row r="81" spans="1:21" x14ac:dyDescent="0.2">
      <c r="A81" s="756"/>
      <c r="B81" s="790"/>
      <c r="C81" s="62" t="s">
        <v>92</v>
      </c>
      <c r="D81" s="62"/>
      <c r="E81" s="62"/>
      <c r="F81" s="62"/>
      <c r="G81" s="62"/>
      <c r="H81" s="62"/>
      <c r="I81" s="62">
        <v>25474</v>
      </c>
      <c r="J81" s="62">
        <v>22043</v>
      </c>
      <c r="K81" s="27">
        <f>1699+18018</f>
        <v>19717</v>
      </c>
      <c r="L81" s="27">
        <v>29033.54</v>
      </c>
      <c r="M81" s="131">
        <v>25989.77</v>
      </c>
      <c r="N81" s="27">
        <v>45874.890000000007</v>
      </c>
      <c r="O81" s="26">
        <v>32060.63</v>
      </c>
      <c r="P81" s="26">
        <v>23435.9</v>
      </c>
      <c r="Q81" s="27">
        <v>50000</v>
      </c>
      <c r="R81" s="27">
        <v>33000</v>
      </c>
      <c r="S81" s="28">
        <f t="shared" si="27"/>
        <v>0.66</v>
      </c>
      <c r="T81" s="621">
        <f t="shared" si="29"/>
        <v>34155</v>
      </c>
      <c r="U81" s="622">
        <f t="shared" si="30"/>
        <v>35350</v>
      </c>
    </row>
    <row r="82" spans="1:21" x14ac:dyDescent="0.2">
      <c r="A82" s="756"/>
      <c r="B82" s="790"/>
      <c r="C82" s="62" t="s">
        <v>93</v>
      </c>
      <c r="D82" s="62"/>
      <c r="E82" s="62"/>
      <c r="F82" s="62"/>
      <c r="G82" s="62"/>
      <c r="H82" s="62"/>
      <c r="I82" s="62">
        <v>1008</v>
      </c>
      <c r="J82" s="62">
        <v>1008</v>
      </c>
      <c r="K82" s="27">
        <v>995</v>
      </c>
      <c r="L82" s="27">
        <v>836.54</v>
      </c>
      <c r="M82" s="131">
        <v>838.04</v>
      </c>
      <c r="N82" s="27">
        <v>834.41</v>
      </c>
      <c r="O82" s="26">
        <v>834.53</v>
      </c>
      <c r="P82" s="26">
        <v>834.58</v>
      </c>
      <c r="Q82" s="27">
        <v>1474</v>
      </c>
      <c r="R82" s="27">
        <v>1474</v>
      </c>
      <c r="S82" s="28">
        <f t="shared" si="27"/>
        <v>1</v>
      </c>
      <c r="T82" s="621">
        <f t="shared" si="29"/>
        <v>1526</v>
      </c>
      <c r="U82" s="622">
        <f t="shared" si="30"/>
        <v>1579</v>
      </c>
    </row>
    <row r="83" spans="1:21" x14ac:dyDescent="0.2">
      <c r="A83" s="756"/>
      <c r="B83" s="790"/>
      <c r="C83" s="62" t="s">
        <v>94</v>
      </c>
      <c r="D83" s="62"/>
      <c r="E83" s="62"/>
      <c r="F83" s="62"/>
      <c r="G83" s="62"/>
      <c r="H83" s="62"/>
      <c r="I83" s="62">
        <v>1487</v>
      </c>
      <c r="J83" s="62">
        <v>1415</v>
      </c>
      <c r="K83" s="27">
        <v>1362</v>
      </c>
      <c r="L83" s="27">
        <v>1386.9</v>
      </c>
      <c r="M83" s="131">
        <v>1388.19</v>
      </c>
      <c r="N83" s="27">
        <v>1382.72</v>
      </c>
      <c r="O83" s="26">
        <v>1384.09</v>
      </c>
      <c r="P83" s="26">
        <v>1383.83</v>
      </c>
      <c r="Q83" s="27">
        <v>1384</v>
      </c>
      <c r="R83" s="27">
        <v>1384</v>
      </c>
      <c r="S83" s="28">
        <f t="shared" si="27"/>
        <v>1</v>
      </c>
      <c r="T83" s="621">
        <f t="shared" si="29"/>
        <v>1432</v>
      </c>
      <c r="U83" s="622">
        <f t="shared" si="30"/>
        <v>1482</v>
      </c>
    </row>
    <row r="84" spans="1:21" x14ac:dyDescent="0.2">
      <c r="A84" s="756"/>
      <c r="B84" s="790"/>
      <c r="C84" s="62" t="s">
        <v>95</v>
      </c>
      <c r="D84" s="62"/>
      <c r="E84" s="62"/>
      <c r="F84" s="62"/>
      <c r="G84" s="62"/>
      <c r="H84" s="62"/>
      <c r="I84" s="62">
        <v>46640</v>
      </c>
      <c r="J84" s="62">
        <v>26998</v>
      </c>
      <c r="K84" s="27">
        <v>72974</v>
      </c>
      <c r="L84" s="27">
        <v>59711.85</v>
      </c>
      <c r="M84" s="131">
        <v>88644.08</v>
      </c>
      <c r="N84" s="27"/>
      <c r="O84" s="26">
        <v>5319.72</v>
      </c>
      <c r="P84" s="26">
        <v>79960.38</v>
      </c>
      <c r="Q84" s="27">
        <v>108000</v>
      </c>
      <c r="R84" s="27">
        <v>108000</v>
      </c>
      <c r="S84" s="28">
        <f t="shared" si="27"/>
        <v>1</v>
      </c>
      <c r="T84" s="621">
        <f t="shared" si="29"/>
        <v>111780</v>
      </c>
      <c r="U84" s="622">
        <f t="shared" si="30"/>
        <v>115692</v>
      </c>
    </row>
    <row r="85" spans="1:21" x14ac:dyDescent="0.2">
      <c r="A85" s="756"/>
      <c r="B85" s="790"/>
      <c r="C85" s="62" t="s">
        <v>96</v>
      </c>
      <c r="D85" s="62"/>
      <c r="E85" s="62"/>
      <c r="F85" s="62"/>
      <c r="G85" s="62"/>
      <c r="H85" s="62"/>
      <c r="I85" s="62">
        <v>4903</v>
      </c>
      <c r="J85" s="62">
        <v>4921</v>
      </c>
      <c r="K85" s="27">
        <v>4883</v>
      </c>
      <c r="L85" s="27">
        <v>4883.67</v>
      </c>
      <c r="M85" s="131">
        <v>4892.91</v>
      </c>
      <c r="N85" s="27">
        <v>4949.79</v>
      </c>
      <c r="O85" s="26">
        <v>5150.43</v>
      </c>
      <c r="P85" s="26">
        <v>5039.6000000000004</v>
      </c>
      <c r="Q85" s="27">
        <v>5150</v>
      </c>
      <c r="R85" s="27">
        <v>5150</v>
      </c>
      <c r="S85" s="28">
        <f t="shared" si="27"/>
        <v>1</v>
      </c>
      <c r="T85" s="621">
        <f t="shared" si="29"/>
        <v>5330</v>
      </c>
      <c r="U85" s="622">
        <f t="shared" si="30"/>
        <v>5517</v>
      </c>
    </row>
    <row r="86" spans="1:21" x14ac:dyDescent="0.2">
      <c r="A86" s="756"/>
      <c r="B86" s="790"/>
      <c r="C86" s="62" t="s">
        <v>97</v>
      </c>
      <c r="D86" s="62"/>
      <c r="E86" s="62"/>
      <c r="F86" s="62"/>
      <c r="G86" s="62"/>
      <c r="H86" s="62"/>
      <c r="I86" s="62"/>
      <c r="J86" s="62"/>
      <c r="K86" s="27"/>
      <c r="L86" s="27"/>
      <c r="M86" s="131"/>
      <c r="N86" s="27">
        <v>5331.12</v>
      </c>
      <c r="O86" s="26">
        <v>5725</v>
      </c>
      <c r="P86" s="26">
        <v>6318.1100000000006</v>
      </c>
      <c r="Q86" s="27">
        <v>15040</v>
      </c>
      <c r="R86" s="27"/>
      <c r="S86" s="28">
        <f t="shared" si="27"/>
        <v>0</v>
      </c>
      <c r="T86" s="621"/>
      <c r="U86" s="622"/>
    </row>
    <row r="87" spans="1:21" x14ac:dyDescent="0.2">
      <c r="A87" s="756"/>
      <c r="B87" s="790"/>
      <c r="C87" s="62" t="s">
        <v>97</v>
      </c>
      <c r="D87" s="62"/>
      <c r="E87" s="62"/>
      <c r="F87" s="62"/>
      <c r="G87" s="62"/>
      <c r="H87" s="62"/>
      <c r="I87" s="62">
        <v>4172</v>
      </c>
      <c r="J87" s="62">
        <v>4305</v>
      </c>
      <c r="K87" s="27">
        <v>4445</v>
      </c>
      <c r="L87" s="27">
        <v>4634.95</v>
      </c>
      <c r="M87" s="131">
        <v>5001.3599999999997</v>
      </c>
      <c r="N87" s="27">
        <v>4700</v>
      </c>
      <c r="O87" s="26">
        <v>4000</v>
      </c>
      <c r="P87" s="26">
        <v>6500</v>
      </c>
      <c r="Q87" s="27"/>
      <c r="R87" s="27"/>
      <c r="S87" s="28">
        <f t="shared" si="27"/>
        <v>0</v>
      </c>
      <c r="T87" s="621">
        <f t="shared" si="29"/>
        <v>0</v>
      </c>
      <c r="U87" s="622">
        <f t="shared" si="30"/>
        <v>0</v>
      </c>
    </row>
    <row r="88" spans="1:21" x14ac:dyDescent="0.2">
      <c r="A88" s="756"/>
      <c r="B88" s="790"/>
      <c r="C88" s="62" t="s">
        <v>98</v>
      </c>
      <c r="D88" s="62"/>
      <c r="E88" s="62"/>
      <c r="F88" s="62"/>
      <c r="G88" s="62"/>
      <c r="H88" s="62"/>
      <c r="I88" s="62">
        <v>13965</v>
      </c>
      <c r="J88" s="62">
        <v>20215</v>
      </c>
      <c r="K88" s="27">
        <f>2614+9370+2952+12392</f>
        <v>27328</v>
      </c>
      <c r="L88" s="27">
        <v>18845.330000000002</v>
      </c>
      <c r="M88" s="131">
        <v>25120.019999999997</v>
      </c>
      <c r="N88" s="27">
        <v>34933.57</v>
      </c>
      <c r="O88" s="26">
        <v>37751.54</v>
      </c>
      <c r="P88" s="26">
        <v>40983.99</v>
      </c>
      <c r="Q88" s="27">
        <v>45000</v>
      </c>
      <c r="R88" s="27">
        <v>41000</v>
      </c>
      <c r="S88" s="28">
        <f t="shared" si="27"/>
        <v>0.91111111111111109</v>
      </c>
      <c r="T88" s="621">
        <f t="shared" si="29"/>
        <v>42435</v>
      </c>
      <c r="U88" s="622">
        <f t="shared" si="30"/>
        <v>43920</v>
      </c>
    </row>
    <row r="89" spans="1:21" x14ac:dyDescent="0.2">
      <c r="A89" s="756"/>
      <c r="B89" s="790"/>
      <c r="C89" s="62" t="s">
        <v>99</v>
      </c>
      <c r="D89" s="62"/>
      <c r="E89" s="62"/>
      <c r="F89" s="62"/>
      <c r="G89" s="62"/>
      <c r="H89" s="62"/>
      <c r="I89" s="62"/>
      <c r="J89" s="62"/>
      <c r="K89" s="27"/>
      <c r="L89" s="27"/>
      <c r="M89" s="26"/>
      <c r="N89" s="27">
        <v>37805</v>
      </c>
      <c r="O89" s="27"/>
      <c r="P89" s="26"/>
      <c r="Q89" s="27"/>
      <c r="R89" s="27">
        <v>75039</v>
      </c>
      <c r="S89" s="28">
        <f t="shared" si="27"/>
        <v>0</v>
      </c>
      <c r="T89" s="623">
        <f>R89</f>
        <v>75039</v>
      </c>
      <c r="U89" s="624">
        <f>T89</f>
        <v>75039</v>
      </c>
    </row>
    <row r="90" spans="1:21" hidden="1" x14ac:dyDescent="0.2">
      <c r="A90" s="756"/>
      <c r="B90" s="790"/>
      <c r="C90" s="62" t="s">
        <v>100</v>
      </c>
      <c r="D90" s="62"/>
      <c r="E90" s="62"/>
      <c r="F90" s="62"/>
      <c r="G90" s="62"/>
      <c r="H90" s="62"/>
      <c r="I90" s="62"/>
      <c r="J90" s="62">
        <v>100000</v>
      </c>
      <c r="K90" s="27"/>
      <c r="L90" s="27"/>
      <c r="M90" s="26">
        <v>59979.789999999994</v>
      </c>
      <c r="N90" s="27">
        <v>37805</v>
      </c>
      <c r="O90" s="27">
        <v>0</v>
      </c>
      <c r="P90" s="26"/>
      <c r="Q90" s="27">
        <v>0</v>
      </c>
      <c r="R90" s="27"/>
      <c r="S90" s="28">
        <f t="shared" si="27"/>
        <v>0</v>
      </c>
      <c r="T90" s="623"/>
      <c r="U90" s="624"/>
    </row>
    <row r="91" spans="1:21" hidden="1" x14ac:dyDescent="0.2">
      <c r="A91" s="756"/>
      <c r="B91" s="790"/>
      <c r="C91" s="77" t="s">
        <v>101</v>
      </c>
      <c r="D91" s="77"/>
      <c r="E91" s="77"/>
      <c r="F91" s="77"/>
      <c r="G91" s="77"/>
      <c r="H91" s="77"/>
      <c r="I91" s="77"/>
      <c r="J91" s="77"/>
      <c r="K91" s="27">
        <v>11061</v>
      </c>
      <c r="L91" s="27"/>
      <c r="M91" s="26">
        <v>105208.79999999999</v>
      </c>
      <c r="N91" s="27"/>
      <c r="O91" s="27"/>
      <c r="P91" s="26"/>
      <c r="Q91" s="27"/>
      <c r="R91" s="27"/>
      <c r="S91" s="28">
        <f t="shared" si="27"/>
        <v>0</v>
      </c>
      <c r="T91" s="623"/>
      <c r="U91" s="624"/>
    </row>
    <row r="92" spans="1:21" x14ac:dyDescent="0.2">
      <c r="A92" s="756"/>
      <c r="B92" s="790"/>
      <c r="C92" s="62" t="s">
        <v>102</v>
      </c>
      <c r="D92" s="77"/>
      <c r="E92" s="77"/>
      <c r="F92" s="77"/>
      <c r="G92" s="77"/>
      <c r="H92" s="77"/>
      <c r="I92" s="77"/>
      <c r="J92" s="77"/>
      <c r="K92" s="27"/>
      <c r="L92" s="27">
        <v>35000</v>
      </c>
      <c r="M92" s="26"/>
      <c r="N92" s="27"/>
      <c r="O92" s="27"/>
      <c r="P92" s="26"/>
      <c r="Q92" s="27"/>
      <c r="R92" s="27"/>
      <c r="S92" s="28">
        <f t="shared" si="27"/>
        <v>0</v>
      </c>
      <c r="T92" s="623"/>
      <c r="U92" s="624"/>
    </row>
    <row r="93" spans="1:21" x14ac:dyDescent="0.2">
      <c r="A93" s="756"/>
      <c r="B93" s="790"/>
      <c r="C93" s="77" t="s">
        <v>103</v>
      </c>
      <c r="D93" s="77"/>
      <c r="E93" s="77"/>
      <c r="F93" s="77"/>
      <c r="G93" s="77"/>
      <c r="H93" s="77"/>
      <c r="I93" s="77"/>
      <c r="J93" s="77"/>
      <c r="K93" s="27"/>
      <c r="L93" s="27">
        <v>149100</v>
      </c>
      <c r="M93" s="26"/>
      <c r="N93" s="27"/>
      <c r="O93" s="27">
        <v>15864.95</v>
      </c>
      <c r="P93" s="26"/>
      <c r="Q93" s="27">
        <v>34500</v>
      </c>
      <c r="R93" s="27"/>
      <c r="S93" s="28">
        <f t="shared" si="27"/>
        <v>0</v>
      </c>
      <c r="T93" s="623"/>
      <c r="U93" s="624"/>
    </row>
    <row r="94" spans="1:21" x14ac:dyDescent="0.2">
      <c r="A94" s="756"/>
      <c r="B94" s="790"/>
      <c r="C94" s="62" t="s">
        <v>104</v>
      </c>
      <c r="D94" s="62"/>
      <c r="E94" s="62"/>
      <c r="F94" s="62"/>
      <c r="G94" s="62"/>
      <c r="H94" s="62"/>
      <c r="I94" s="62">
        <v>119232</v>
      </c>
      <c r="J94" s="62">
        <f>30008+30023</f>
        <v>60031</v>
      </c>
      <c r="K94" s="27"/>
      <c r="L94" s="27"/>
      <c r="M94" s="26">
        <v>108000</v>
      </c>
      <c r="N94" s="27"/>
      <c r="O94" s="27">
        <v>66101.8</v>
      </c>
      <c r="P94" s="26"/>
      <c r="Q94" s="27"/>
      <c r="R94" s="27">
        <v>26800</v>
      </c>
      <c r="S94" s="28">
        <f t="shared" si="27"/>
        <v>0</v>
      </c>
      <c r="T94" s="623">
        <v>26800</v>
      </c>
      <c r="U94" s="624">
        <v>26800</v>
      </c>
    </row>
    <row r="95" spans="1:21" hidden="1" x14ac:dyDescent="0.2">
      <c r="A95" s="756"/>
      <c r="B95" s="790"/>
      <c r="C95" s="62" t="s">
        <v>105</v>
      </c>
      <c r="D95" s="62"/>
      <c r="E95" s="62"/>
      <c r="F95" s="62"/>
      <c r="G95" s="62"/>
      <c r="H95" s="62"/>
      <c r="I95" s="62"/>
      <c r="J95" s="62">
        <v>40000</v>
      </c>
      <c r="K95" s="27"/>
      <c r="L95" s="27"/>
      <c r="M95" s="27">
        <v>298131.34999999998</v>
      </c>
      <c r="N95" s="27"/>
      <c r="O95" s="27"/>
      <c r="P95" s="26"/>
      <c r="Q95" s="27"/>
      <c r="R95" s="27"/>
      <c r="S95" s="28">
        <f t="shared" si="27"/>
        <v>0</v>
      </c>
      <c r="T95" s="623"/>
      <c r="U95" s="624"/>
    </row>
    <row r="96" spans="1:21" x14ac:dyDescent="0.2">
      <c r="A96" s="756"/>
      <c r="B96" s="790"/>
      <c r="C96" s="62" t="s">
        <v>106</v>
      </c>
      <c r="D96" s="62"/>
      <c r="E96" s="62"/>
      <c r="F96" s="62"/>
      <c r="G96" s="62"/>
      <c r="H96" s="62"/>
      <c r="I96" s="62"/>
      <c r="J96" s="62">
        <v>85385</v>
      </c>
      <c r="K96" s="27">
        <v>389162</v>
      </c>
      <c r="L96" s="27"/>
      <c r="M96" s="63"/>
      <c r="N96" s="27">
        <v>274838.90000000002</v>
      </c>
      <c r="O96" s="26">
        <v>190966.83</v>
      </c>
      <c r="P96" s="26">
        <v>164272.02000000002</v>
      </c>
      <c r="Q96" s="27">
        <v>192900</v>
      </c>
      <c r="R96" s="27">
        <v>150000</v>
      </c>
      <c r="S96" s="28">
        <f t="shared" si="27"/>
        <v>0.77760497667185069</v>
      </c>
      <c r="T96" s="623"/>
      <c r="U96" s="624"/>
    </row>
    <row r="97" spans="1:21" hidden="1" x14ac:dyDescent="0.2">
      <c r="A97" s="756"/>
      <c r="B97" s="790"/>
      <c r="C97" s="62" t="s">
        <v>107</v>
      </c>
      <c r="D97" s="62"/>
      <c r="E97" s="62"/>
      <c r="F97" s="62"/>
      <c r="G97" s="62"/>
      <c r="H97" s="62"/>
      <c r="I97" s="62"/>
      <c r="J97" s="62"/>
      <c r="K97" s="27">
        <v>6226</v>
      </c>
      <c r="L97" s="27"/>
      <c r="M97" s="27"/>
      <c r="N97" s="27"/>
      <c r="O97" s="27"/>
      <c r="P97" s="26">
        <v>2738.17</v>
      </c>
      <c r="Q97" s="27"/>
      <c r="R97" s="27"/>
      <c r="S97" s="28">
        <f t="shared" si="27"/>
        <v>0</v>
      </c>
      <c r="T97" s="28"/>
      <c r="U97" s="633"/>
    </row>
    <row r="98" spans="1:21" hidden="1" x14ac:dyDescent="0.2">
      <c r="A98" s="756"/>
      <c r="B98" s="790"/>
      <c r="C98" s="62" t="s">
        <v>108</v>
      </c>
      <c r="D98" s="62"/>
      <c r="E98" s="62"/>
      <c r="F98" s="62"/>
      <c r="G98" s="62"/>
      <c r="H98" s="62"/>
      <c r="I98" s="62">
        <v>3534</v>
      </c>
      <c r="J98" s="62">
        <v>4595</v>
      </c>
      <c r="K98" s="27">
        <v>1120</v>
      </c>
      <c r="L98" s="27"/>
      <c r="M98" s="27"/>
      <c r="N98" s="27"/>
      <c r="O98" s="27"/>
      <c r="P98" s="26"/>
      <c r="Q98" s="27"/>
      <c r="R98" s="27"/>
      <c r="S98" s="28">
        <f t="shared" si="27"/>
        <v>0</v>
      </c>
      <c r="T98" s="28"/>
      <c r="U98" s="633"/>
    </row>
    <row r="99" spans="1:21" hidden="1" x14ac:dyDescent="0.2">
      <c r="A99" s="756"/>
      <c r="B99" s="790"/>
      <c r="C99" s="62" t="s">
        <v>109</v>
      </c>
      <c r="D99" s="62"/>
      <c r="E99" s="62"/>
      <c r="F99" s="62"/>
      <c r="G99" s="62"/>
      <c r="H99" s="62"/>
      <c r="I99" s="62"/>
      <c r="J99" s="62"/>
      <c r="K99" s="27">
        <v>73802</v>
      </c>
      <c r="L99" s="27"/>
      <c r="M99" s="27"/>
      <c r="N99" s="27"/>
      <c r="O99" s="27"/>
      <c r="P99" s="26"/>
      <c r="Q99" s="27"/>
      <c r="R99" s="27"/>
      <c r="S99" s="28">
        <f t="shared" si="27"/>
        <v>0</v>
      </c>
      <c r="T99" s="28"/>
      <c r="U99" s="633"/>
    </row>
    <row r="100" spans="1:21" hidden="1" x14ac:dyDescent="0.2">
      <c r="A100" s="756"/>
      <c r="B100" s="790"/>
      <c r="C100" s="62" t="s">
        <v>110</v>
      </c>
      <c r="D100" s="62"/>
      <c r="E100" s="62"/>
      <c r="F100" s="62"/>
      <c r="G100" s="62"/>
      <c r="H100" s="62"/>
      <c r="I100" s="62"/>
      <c r="J100" s="62">
        <v>18000</v>
      </c>
      <c r="K100" s="27"/>
      <c r="L100" s="27"/>
      <c r="M100" s="27"/>
      <c r="N100" s="27"/>
      <c r="O100" s="27"/>
      <c r="P100" s="26"/>
      <c r="Q100" s="27"/>
      <c r="R100" s="27"/>
      <c r="S100" s="28">
        <f t="shared" si="27"/>
        <v>0</v>
      </c>
      <c r="T100" s="28"/>
      <c r="U100" s="633"/>
    </row>
    <row r="101" spans="1:21" hidden="1" x14ac:dyDescent="0.2">
      <c r="A101" s="756"/>
      <c r="B101" s="790"/>
      <c r="C101" s="62" t="s">
        <v>111</v>
      </c>
      <c r="D101" s="62"/>
      <c r="E101" s="62"/>
      <c r="F101" s="62"/>
      <c r="G101" s="62"/>
      <c r="H101" s="62"/>
      <c r="I101" s="62"/>
      <c r="J101" s="62"/>
      <c r="K101" s="27"/>
      <c r="L101" s="27"/>
      <c r="M101" s="132"/>
      <c r="N101" s="133"/>
      <c r="O101" s="133"/>
      <c r="P101" s="134"/>
      <c r="Q101" s="133"/>
      <c r="R101" s="133"/>
      <c r="S101" s="28">
        <f t="shared" si="27"/>
        <v>0</v>
      </c>
      <c r="T101" s="28"/>
      <c r="U101" s="633"/>
    </row>
    <row r="102" spans="1:21" hidden="1" x14ac:dyDescent="0.2">
      <c r="A102" s="756"/>
      <c r="B102" s="790"/>
      <c r="C102" s="62" t="s">
        <v>112</v>
      </c>
      <c r="D102" s="62"/>
      <c r="E102" s="62"/>
      <c r="F102" s="62"/>
      <c r="G102" s="62"/>
      <c r="H102" s="62"/>
      <c r="I102" s="62"/>
      <c r="J102" s="62"/>
      <c r="K102" s="27"/>
      <c r="L102" s="27"/>
      <c r="M102" s="133"/>
      <c r="N102" s="133"/>
      <c r="O102" s="133"/>
      <c r="P102" s="134"/>
      <c r="Q102" s="133"/>
      <c r="R102" s="133"/>
      <c r="S102" s="28">
        <f t="shared" si="27"/>
        <v>0</v>
      </c>
      <c r="T102" s="28"/>
      <c r="U102" s="633"/>
    </row>
    <row r="103" spans="1:21" hidden="1" x14ac:dyDescent="0.2">
      <c r="A103" s="756"/>
      <c r="B103" s="790"/>
      <c r="C103" s="62" t="s">
        <v>113</v>
      </c>
      <c r="D103" s="62"/>
      <c r="E103" s="62"/>
      <c r="F103" s="62"/>
      <c r="G103" s="62"/>
      <c r="H103" s="62"/>
      <c r="I103" s="62"/>
      <c r="J103" s="62"/>
      <c r="K103" s="27"/>
      <c r="L103" s="27"/>
      <c r="M103" s="27"/>
      <c r="N103" s="27"/>
      <c r="O103" s="27"/>
      <c r="P103" s="26"/>
      <c r="Q103" s="27"/>
      <c r="R103" s="27"/>
      <c r="S103" s="28">
        <f t="shared" si="27"/>
        <v>0</v>
      </c>
      <c r="T103" s="28"/>
      <c r="U103" s="633"/>
    </row>
    <row r="104" spans="1:21" hidden="1" x14ac:dyDescent="0.2">
      <c r="A104" s="756"/>
      <c r="B104" s="790"/>
      <c r="C104" s="62" t="s">
        <v>114</v>
      </c>
      <c r="D104" s="62"/>
      <c r="E104" s="62"/>
      <c r="F104" s="62"/>
      <c r="G104" s="62"/>
      <c r="H104" s="62"/>
      <c r="I104" s="62">
        <v>165906</v>
      </c>
      <c r="J104" s="62"/>
      <c r="K104" s="27">
        <v>0</v>
      </c>
      <c r="L104" s="27"/>
      <c r="M104" s="27"/>
      <c r="N104" s="27"/>
      <c r="O104" s="27"/>
      <c r="P104" s="26">
        <v>238911.06000000006</v>
      </c>
      <c r="Q104" s="27"/>
      <c r="R104" s="27"/>
      <c r="S104" s="28">
        <f t="shared" si="27"/>
        <v>0</v>
      </c>
      <c r="T104" s="28"/>
      <c r="U104" s="633"/>
    </row>
    <row r="105" spans="1:21" x14ac:dyDescent="0.2">
      <c r="A105" s="756"/>
      <c r="B105" s="790"/>
      <c r="C105" s="46" t="s">
        <v>115</v>
      </c>
      <c r="D105" s="65"/>
      <c r="E105" s="65"/>
      <c r="F105" s="65"/>
      <c r="G105" s="65"/>
      <c r="H105" s="65"/>
      <c r="I105" s="65"/>
      <c r="J105" s="65"/>
      <c r="K105" s="27"/>
      <c r="L105" s="27"/>
      <c r="M105" s="27"/>
      <c r="N105" s="27"/>
      <c r="O105" s="27">
        <v>146016</v>
      </c>
      <c r="P105" s="26">
        <v>73008</v>
      </c>
      <c r="Q105" s="27">
        <v>130000</v>
      </c>
      <c r="R105" s="27">
        <v>171000</v>
      </c>
      <c r="S105" s="28">
        <f t="shared" si="27"/>
        <v>1.3153846153846154</v>
      </c>
      <c r="T105" s="28">
        <v>171000</v>
      </c>
      <c r="U105" s="633"/>
    </row>
    <row r="106" spans="1:21" ht="13.5" thickBot="1" x14ac:dyDescent="0.25">
      <c r="A106" s="756"/>
      <c r="B106" s="790"/>
      <c r="C106" s="64" t="s">
        <v>116</v>
      </c>
      <c r="D106" s="65"/>
      <c r="E106" s="65"/>
      <c r="F106" s="65"/>
      <c r="G106" s="65"/>
      <c r="H106" s="65"/>
      <c r="I106" s="65">
        <v>117128</v>
      </c>
      <c r="J106" s="65">
        <v>59866</v>
      </c>
      <c r="K106" s="27">
        <v>366191</v>
      </c>
      <c r="L106" s="27"/>
      <c r="M106" s="135">
        <v>13085.550000000001</v>
      </c>
      <c r="N106" s="27">
        <f>206825+69116</f>
        <v>275941</v>
      </c>
      <c r="O106" s="26">
        <f>82173.59+363.75</f>
        <v>82537.34</v>
      </c>
      <c r="P106" s="26"/>
      <c r="Q106" s="27">
        <f>33500+24540-7040</f>
        <v>51000</v>
      </c>
      <c r="R106" s="27"/>
      <c r="S106" s="34">
        <f t="shared" si="27"/>
        <v>0</v>
      </c>
      <c r="T106" s="34"/>
      <c r="U106" s="644"/>
    </row>
    <row r="107" spans="1:21" ht="15.75" hidden="1" thickBot="1" x14ac:dyDescent="0.3">
      <c r="A107" s="35">
        <v>330</v>
      </c>
      <c r="B107" s="760" t="s">
        <v>117</v>
      </c>
      <c r="C107" s="761"/>
      <c r="D107" s="87">
        <f t="shared" ref="D107:L107" si="31">D108</f>
        <v>0</v>
      </c>
      <c r="E107" s="87">
        <f t="shared" si="31"/>
        <v>0</v>
      </c>
      <c r="F107" s="87">
        <f t="shared" si="31"/>
        <v>0</v>
      </c>
      <c r="G107" s="87">
        <f t="shared" si="31"/>
        <v>0</v>
      </c>
      <c r="H107" s="87">
        <f t="shared" si="31"/>
        <v>21047</v>
      </c>
      <c r="I107" s="87">
        <f t="shared" si="31"/>
        <v>28355</v>
      </c>
      <c r="J107" s="87">
        <f t="shared" si="31"/>
        <v>39058</v>
      </c>
      <c r="K107" s="87">
        <f t="shared" si="31"/>
        <v>9516</v>
      </c>
      <c r="L107" s="87">
        <f t="shared" si="31"/>
        <v>0</v>
      </c>
      <c r="M107" s="87"/>
      <c r="N107" s="89"/>
      <c r="O107" s="89"/>
      <c r="P107" s="125"/>
      <c r="Q107" s="89"/>
      <c r="R107" s="89">
        <f>R108</f>
        <v>0</v>
      </c>
      <c r="S107" s="10">
        <f t="shared" si="27"/>
        <v>0</v>
      </c>
      <c r="T107" s="10"/>
      <c r="U107" s="639"/>
    </row>
    <row r="108" spans="1:21" ht="13.5" hidden="1" thickBot="1" x14ac:dyDescent="0.25">
      <c r="A108" s="755"/>
      <c r="B108" s="80">
        <v>331</v>
      </c>
      <c r="C108" s="81" t="s">
        <v>118</v>
      </c>
      <c r="D108" s="81"/>
      <c r="E108" s="81">
        <v>0</v>
      </c>
      <c r="F108" s="81">
        <v>0</v>
      </c>
      <c r="G108" s="81">
        <v>0</v>
      </c>
      <c r="H108" s="81">
        <v>21047</v>
      </c>
      <c r="I108" s="83">
        <f>I109</f>
        <v>28355</v>
      </c>
      <c r="J108" s="83">
        <f>J109</f>
        <v>39058</v>
      </c>
      <c r="K108" s="83">
        <f>K109</f>
        <v>9516</v>
      </c>
      <c r="L108" s="85"/>
      <c r="M108" s="85"/>
      <c r="N108" s="85"/>
      <c r="O108" s="85"/>
      <c r="P108" s="90"/>
      <c r="Q108" s="85"/>
      <c r="R108" s="85"/>
      <c r="S108" s="10">
        <f t="shared" si="27"/>
        <v>0</v>
      </c>
      <c r="T108" s="10"/>
      <c r="U108" s="639"/>
    </row>
    <row r="109" spans="1:21" ht="13.5" hidden="1" thickBot="1" x14ac:dyDescent="0.25">
      <c r="A109" s="756"/>
      <c r="B109" s="610"/>
      <c r="C109" s="136" t="s">
        <v>108</v>
      </c>
      <c r="D109" s="136"/>
      <c r="E109" s="136"/>
      <c r="F109" s="136"/>
      <c r="G109" s="136"/>
      <c r="H109" s="136">
        <v>21047</v>
      </c>
      <c r="I109" s="136">
        <v>28355</v>
      </c>
      <c r="J109" s="136">
        <v>39058</v>
      </c>
      <c r="K109" s="137">
        <v>9516</v>
      </c>
      <c r="L109" s="93"/>
      <c r="M109" s="93"/>
      <c r="N109" s="93"/>
      <c r="O109" s="93"/>
      <c r="P109" s="92"/>
      <c r="Q109" s="93"/>
      <c r="R109" s="93"/>
      <c r="S109" s="138">
        <f t="shared" si="27"/>
        <v>0</v>
      </c>
      <c r="T109" s="138"/>
      <c r="U109" s="645"/>
    </row>
    <row r="110" spans="1:21" ht="17.25" thickTop="1" thickBot="1" x14ac:dyDescent="0.3">
      <c r="A110" s="757" t="s">
        <v>119</v>
      </c>
      <c r="B110" s="758"/>
      <c r="C110" s="759"/>
      <c r="D110" s="139">
        <f t="shared" ref="D110:R110" si="32">D5+D26+D69</f>
        <v>7125871</v>
      </c>
      <c r="E110" s="139">
        <f t="shared" si="32"/>
        <v>7561840</v>
      </c>
      <c r="F110" s="139">
        <f t="shared" si="32"/>
        <v>9082354</v>
      </c>
      <c r="G110" s="139">
        <f t="shared" si="32"/>
        <v>9080838</v>
      </c>
      <c r="H110" s="139">
        <f t="shared" si="32"/>
        <v>8537685</v>
      </c>
      <c r="I110" s="139">
        <f t="shared" si="32"/>
        <v>9096722</v>
      </c>
      <c r="J110" s="139">
        <f t="shared" si="32"/>
        <v>9201831</v>
      </c>
      <c r="K110" s="139">
        <f t="shared" si="32"/>
        <v>9722622</v>
      </c>
      <c r="L110" s="139">
        <f t="shared" si="32"/>
        <v>9640328.2399999984</v>
      </c>
      <c r="M110" s="140">
        <f t="shared" si="32"/>
        <v>10178626.01</v>
      </c>
      <c r="N110" s="139">
        <f t="shared" si="32"/>
        <v>10784511.560000002</v>
      </c>
      <c r="O110" s="140">
        <f t="shared" si="32"/>
        <v>10947354.260000002</v>
      </c>
      <c r="P110" s="140">
        <f t="shared" si="32"/>
        <v>11835790.83</v>
      </c>
      <c r="Q110" s="139">
        <f t="shared" si="32"/>
        <v>12717671</v>
      </c>
      <c r="R110" s="141">
        <f t="shared" si="32"/>
        <v>12332394</v>
      </c>
      <c r="S110" s="142">
        <f t="shared" si="27"/>
        <v>0.96970538080439417</v>
      </c>
      <c r="T110" s="646">
        <f>T5+T26+T69</f>
        <v>12354705</v>
      </c>
      <c r="U110" s="647">
        <f>U5+U26+U69</f>
        <v>12379364</v>
      </c>
    </row>
    <row r="111" spans="1:21" ht="13.5" thickTop="1" x14ac:dyDescent="0.2"/>
    <row r="113" spans="15:23" x14ac:dyDescent="0.2">
      <c r="O113" s="616"/>
      <c r="P113" s="616"/>
      <c r="Q113" s="616"/>
    </row>
    <row r="117" spans="15:23" ht="15" x14ac:dyDescent="0.25">
      <c r="W117" s="618"/>
    </row>
  </sheetData>
  <mergeCells count="53">
    <mergeCell ref="A1:C1"/>
    <mergeCell ref="A2:C2"/>
    <mergeCell ref="T3:T4"/>
    <mergeCell ref="U3:U4"/>
    <mergeCell ref="A71:A106"/>
    <mergeCell ref="B74:B106"/>
    <mergeCell ref="S3:S4"/>
    <mergeCell ref="B5:C5"/>
    <mergeCell ref="B6:C6"/>
    <mergeCell ref="A7:A11"/>
    <mergeCell ref="B7:B11"/>
    <mergeCell ref="B12:C12"/>
    <mergeCell ref="M3:M4"/>
    <mergeCell ref="N3:N4"/>
    <mergeCell ref="O3:O4"/>
    <mergeCell ref="P3:P4"/>
    <mergeCell ref="B107:C107"/>
    <mergeCell ref="A13:A16"/>
    <mergeCell ref="B14:B16"/>
    <mergeCell ref="B17:C17"/>
    <mergeCell ref="A18:A25"/>
    <mergeCell ref="B19:B25"/>
    <mergeCell ref="B26:C26"/>
    <mergeCell ref="A108:A109"/>
    <mergeCell ref="A110:C110"/>
    <mergeCell ref="B70:C70"/>
    <mergeCell ref="B27:C27"/>
    <mergeCell ref="A28:A39"/>
    <mergeCell ref="B29:B31"/>
    <mergeCell ref="B33:B39"/>
    <mergeCell ref="B40:C40"/>
    <mergeCell ref="A41:A59"/>
    <mergeCell ref="B42:B44"/>
    <mergeCell ref="B46:B57"/>
    <mergeCell ref="B60:C60"/>
    <mergeCell ref="B62:C62"/>
    <mergeCell ref="A63:A68"/>
    <mergeCell ref="B64:B68"/>
    <mergeCell ref="B69:C69"/>
    <mergeCell ref="F3:F4"/>
    <mergeCell ref="Q3:Q4"/>
    <mergeCell ref="R3:R4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2"/>
  <sheetViews>
    <sheetView workbookViewId="0">
      <selection activeCell="V24" sqref="V24"/>
    </sheetView>
  </sheetViews>
  <sheetFormatPr defaultRowHeight="15" x14ac:dyDescent="0.25"/>
  <cols>
    <col min="1" max="1" width="11.5703125" customWidth="1"/>
    <col min="3" max="3" width="30.140625" customWidth="1"/>
    <col min="4" max="12" width="14.28515625" hidden="1" customWidth="1"/>
    <col min="13" max="13" width="16.42578125" hidden="1" customWidth="1"/>
    <col min="14" max="14" width="15.140625" hidden="1" customWidth="1"/>
    <col min="15" max="15" width="16" hidden="1" customWidth="1"/>
    <col min="16" max="16" width="15.28515625" customWidth="1"/>
    <col min="17" max="17" width="14.85546875" customWidth="1"/>
    <col min="18" max="18" width="14.140625" customWidth="1"/>
    <col min="19" max="19" width="8.28515625" customWidth="1"/>
    <col min="20" max="20" width="14" style="618" customWidth="1"/>
    <col min="21" max="21" width="13.28515625" style="618" customWidth="1"/>
    <col min="24" max="24" width="10.140625" bestFit="1" customWidth="1"/>
    <col min="25" max="25" width="14.5703125" customWidth="1"/>
    <col min="26" max="26" width="11.42578125" customWidth="1"/>
    <col min="27" max="28" width="10.140625" customWidth="1"/>
    <col min="257" max="257" width="11.5703125" customWidth="1"/>
    <col min="259" max="259" width="30.140625" customWidth="1"/>
    <col min="260" max="271" width="0" hidden="1" customWidth="1"/>
    <col min="272" max="272" width="15.28515625" customWidth="1"/>
    <col min="273" max="273" width="14.85546875" customWidth="1"/>
    <col min="274" max="274" width="14.140625" customWidth="1"/>
    <col min="275" max="275" width="8.28515625" customWidth="1"/>
    <col min="276" max="276" width="14" customWidth="1"/>
    <col min="277" max="277" width="13.28515625" customWidth="1"/>
    <col min="280" max="280" width="10.140625" bestFit="1" customWidth="1"/>
    <col min="281" max="281" width="14.5703125" customWidth="1"/>
    <col min="282" max="282" width="11.42578125" customWidth="1"/>
    <col min="283" max="284" width="10.140625" customWidth="1"/>
    <col min="513" max="513" width="11.5703125" customWidth="1"/>
    <col min="515" max="515" width="30.140625" customWidth="1"/>
    <col min="516" max="527" width="0" hidden="1" customWidth="1"/>
    <col min="528" max="528" width="15.28515625" customWidth="1"/>
    <col min="529" max="529" width="14.85546875" customWidth="1"/>
    <col min="530" max="530" width="14.140625" customWidth="1"/>
    <col min="531" max="531" width="8.28515625" customWidth="1"/>
    <col min="532" max="532" width="14" customWidth="1"/>
    <col min="533" max="533" width="13.28515625" customWidth="1"/>
    <col min="536" max="536" width="10.140625" bestFit="1" customWidth="1"/>
    <col min="537" max="537" width="14.5703125" customWidth="1"/>
    <col min="538" max="538" width="11.42578125" customWidth="1"/>
    <col min="539" max="540" width="10.140625" customWidth="1"/>
    <col min="769" max="769" width="11.5703125" customWidth="1"/>
    <col min="771" max="771" width="30.140625" customWidth="1"/>
    <col min="772" max="783" width="0" hidden="1" customWidth="1"/>
    <col min="784" max="784" width="15.28515625" customWidth="1"/>
    <col min="785" max="785" width="14.85546875" customWidth="1"/>
    <col min="786" max="786" width="14.140625" customWidth="1"/>
    <col min="787" max="787" width="8.28515625" customWidth="1"/>
    <col min="788" max="788" width="14" customWidth="1"/>
    <col min="789" max="789" width="13.28515625" customWidth="1"/>
    <col min="792" max="792" width="10.140625" bestFit="1" customWidth="1"/>
    <col min="793" max="793" width="14.5703125" customWidth="1"/>
    <col min="794" max="794" width="11.42578125" customWidth="1"/>
    <col min="795" max="796" width="10.140625" customWidth="1"/>
    <col min="1025" max="1025" width="11.5703125" customWidth="1"/>
    <col min="1027" max="1027" width="30.140625" customWidth="1"/>
    <col min="1028" max="1039" width="0" hidden="1" customWidth="1"/>
    <col min="1040" max="1040" width="15.28515625" customWidth="1"/>
    <col min="1041" max="1041" width="14.85546875" customWidth="1"/>
    <col min="1042" max="1042" width="14.140625" customWidth="1"/>
    <col min="1043" max="1043" width="8.28515625" customWidth="1"/>
    <col min="1044" max="1044" width="14" customWidth="1"/>
    <col min="1045" max="1045" width="13.28515625" customWidth="1"/>
    <col min="1048" max="1048" width="10.140625" bestFit="1" customWidth="1"/>
    <col min="1049" max="1049" width="14.5703125" customWidth="1"/>
    <col min="1050" max="1050" width="11.42578125" customWidth="1"/>
    <col min="1051" max="1052" width="10.140625" customWidth="1"/>
    <col min="1281" max="1281" width="11.5703125" customWidth="1"/>
    <col min="1283" max="1283" width="30.140625" customWidth="1"/>
    <col min="1284" max="1295" width="0" hidden="1" customWidth="1"/>
    <col min="1296" max="1296" width="15.28515625" customWidth="1"/>
    <col min="1297" max="1297" width="14.85546875" customWidth="1"/>
    <col min="1298" max="1298" width="14.140625" customWidth="1"/>
    <col min="1299" max="1299" width="8.28515625" customWidth="1"/>
    <col min="1300" max="1300" width="14" customWidth="1"/>
    <col min="1301" max="1301" width="13.28515625" customWidth="1"/>
    <col min="1304" max="1304" width="10.140625" bestFit="1" customWidth="1"/>
    <col min="1305" max="1305" width="14.5703125" customWidth="1"/>
    <col min="1306" max="1306" width="11.42578125" customWidth="1"/>
    <col min="1307" max="1308" width="10.140625" customWidth="1"/>
    <col min="1537" max="1537" width="11.5703125" customWidth="1"/>
    <col min="1539" max="1539" width="30.140625" customWidth="1"/>
    <col min="1540" max="1551" width="0" hidden="1" customWidth="1"/>
    <col min="1552" max="1552" width="15.28515625" customWidth="1"/>
    <col min="1553" max="1553" width="14.85546875" customWidth="1"/>
    <col min="1554" max="1554" width="14.140625" customWidth="1"/>
    <col min="1555" max="1555" width="8.28515625" customWidth="1"/>
    <col min="1556" max="1556" width="14" customWidth="1"/>
    <col min="1557" max="1557" width="13.28515625" customWidth="1"/>
    <col min="1560" max="1560" width="10.140625" bestFit="1" customWidth="1"/>
    <col min="1561" max="1561" width="14.5703125" customWidth="1"/>
    <col min="1562" max="1562" width="11.42578125" customWidth="1"/>
    <col min="1563" max="1564" width="10.140625" customWidth="1"/>
    <col min="1793" max="1793" width="11.5703125" customWidth="1"/>
    <col min="1795" max="1795" width="30.140625" customWidth="1"/>
    <col min="1796" max="1807" width="0" hidden="1" customWidth="1"/>
    <col min="1808" max="1808" width="15.28515625" customWidth="1"/>
    <col min="1809" max="1809" width="14.85546875" customWidth="1"/>
    <col min="1810" max="1810" width="14.140625" customWidth="1"/>
    <col min="1811" max="1811" width="8.28515625" customWidth="1"/>
    <col min="1812" max="1812" width="14" customWidth="1"/>
    <col min="1813" max="1813" width="13.28515625" customWidth="1"/>
    <col min="1816" max="1816" width="10.140625" bestFit="1" customWidth="1"/>
    <col min="1817" max="1817" width="14.5703125" customWidth="1"/>
    <col min="1818" max="1818" width="11.42578125" customWidth="1"/>
    <col min="1819" max="1820" width="10.140625" customWidth="1"/>
    <col min="2049" max="2049" width="11.5703125" customWidth="1"/>
    <col min="2051" max="2051" width="30.140625" customWidth="1"/>
    <col min="2052" max="2063" width="0" hidden="1" customWidth="1"/>
    <col min="2064" max="2064" width="15.28515625" customWidth="1"/>
    <col min="2065" max="2065" width="14.85546875" customWidth="1"/>
    <col min="2066" max="2066" width="14.140625" customWidth="1"/>
    <col min="2067" max="2067" width="8.28515625" customWidth="1"/>
    <col min="2068" max="2068" width="14" customWidth="1"/>
    <col min="2069" max="2069" width="13.28515625" customWidth="1"/>
    <col min="2072" max="2072" width="10.140625" bestFit="1" customWidth="1"/>
    <col min="2073" max="2073" width="14.5703125" customWidth="1"/>
    <col min="2074" max="2074" width="11.42578125" customWidth="1"/>
    <col min="2075" max="2076" width="10.140625" customWidth="1"/>
    <col min="2305" max="2305" width="11.5703125" customWidth="1"/>
    <col min="2307" max="2307" width="30.140625" customWidth="1"/>
    <col min="2308" max="2319" width="0" hidden="1" customWidth="1"/>
    <col min="2320" max="2320" width="15.28515625" customWidth="1"/>
    <col min="2321" max="2321" width="14.85546875" customWidth="1"/>
    <col min="2322" max="2322" width="14.140625" customWidth="1"/>
    <col min="2323" max="2323" width="8.28515625" customWidth="1"/>
    <col min="2324" max="2324" width="14" customWidth="1"/>
    <col min="2325" max="2325" width="13.28515625" customWidth="1"/>
    <col min="2328" max="2328" width="10.140625" bestFit="1" customWidth="1"/>
    <col min="2329" max="2329" width="14.5703125" customWidth="1"/>
    <col min="2330" max="2330" width="11.42578125" customWidth="1"/>
    <col min="2331" max="2332" width="10.140625" customWidth="1"/>
    <col min="2561" max="2561" width="11.5703125" customWidth="1"/>
    <col min="2563" max="2563" width="30.140625" customWidth="1"/>
    <col min="2564" max="2575" width="0" hidden="1" customWidth="1"/>
    <col min="2576" max="2576" width="15.28515625" customWidth="1"/>
    <col min="2577" max="2577" width="14.85546875" customWidth="1"/>
    <col min="2578" max="2578" width="14.140625" customWidth="1"/>
    <col min="2579" max="2579" width="8.28515625" customWidth="1"/>
    <col min="2580" max="2580" width="14" customWidth="1"/>
    <col min="2581" max="2581" width="13.28515625" customWidth="1"/>
    <col min="2584" max="2584" width="10.140625" bestFit="1" customWidth="1"/>
    <col min="2585" max="2585" width="14.5703125" customWidth="1"/>
    <col min="2586" max="2586" width="11.42578125" customWidth="1"/>
    <col min="2587" max="2588" width="10.140625" customWidth="1"/>
    <col min="2817" max="2817" width="11.5703125" customWidth="1"/>
    <col min="2819" max="2819" width="30.140625" customWidth="1"/>
    <col min="2820" max="2831" width="0" hidden="1" customWidth="1"/>
    <col min="2832" max="2832" width="15.28515625" customWidth="1"/>
    <col min="2833" max="2833" width="14.85546875" customWidth="1"/>
    <col min="2834" max="2834" width="14.140625" customWidth="1"/>
    <col min="2835" max="2835" width="8.28515625" customWidth="1"/>
    <col min="2836" max="2836" width="14" customWidth="1"/>
    <col min="2837" max="2837" width="13.28515625" customWidth="1"/>
    <col min="2840" max="2840" width="10.140625" bestFit="1" customWidth="1"/>
    <col min="2841" max="2841" width="14.5703125" customWidth="1"/>
    <col min="2842" max="2842" width="11.42578125" customWidth="1"/>
    <col min="2843" max="2844" width="10.140625" customWidth="1"/>
    <col min="3073" max="3073" width="11.5703125" customWidth="1"/>
    <col min="3075" max="3075" width="30.140625" customWidth="1"/>
    <col min="3076" max="3087" width="0" hidden="1" customWidth="1"/>
    <col min="3088" max="3088" width="15.28515625" customWidth="1"/>
    <col min="3089" max="3089" width="14.85546875" customWidth="1"/>
    <col min="3090" max="3090" width="14.140625" customWidth="1"/>
    <col min="3091" max="3091" width="8.28515625" customWidth="1"/>
    <col min="3092" max="3092" width="14" customWidth="1"/>
    <col min="3093" max="3093" width="13.28515625" customWidth="1"/>
    <col min="3096" max="3096" width="10.140625" bestFit="1" customWidth="1"/>
    <col min="3097" max="3097" width="14.5703125" customWidth="1"/>
    <col min="3098" max="3098" width="11.42578125" customWidth="1"/>
    <col min="3099" max="3100" width="10.140625" customWidth="1"/>
    <col min="3329" max="3329" width="11.5703125" customWidth="1"/>
    <col min="3331" max="3331" width="30.140625" customWidth="1"/>
    <col min="3332" max="3343" width="0" hidden="1" customWidth="1"/>
    <col min="3344" max="3344" width="15.28515625" customWidth="1"/>
    <col min="3345" max="3345" width="14.85546875" customWidth="1"/>
    <col min="3346" max="3346" width="14.140625" customWidth="1"/>
    <col min="3347" max="3347" width="8.28515625" customWidth="1"/>
    <col min="3348" max="3348" width="14" customWidth="1"/>
    <col min="3349" max="3349" width="13.28515625" customWidth="1"/>
    <col min="3352" max="3352" width="10.140625" bestFit="1" customWidth="1"/>
    <col min="3353" max="3353" width="14.5703125" customWidth="1"/>
    <col min="3354" max="3354" width="11.42578125" customWidth="1"/>
    <col min="3355" max="3356" width="10.140625" customWidth="1"/>
    <col min="3585" max="3585" width="11.5703125" customWidth="1"/>
    <col min="3587" max="3587" width="30.140625" customWidth="1"/>
    <col min="3588" max="3599" width="0" hidden="1" customWidth="1"/>
    <col min="3600" max="3600" width="15.28515625" customWidth="1"/>
    <col min="3601" max="3601" width="14.85546875" customWidth="1"/>
    <col min="3602" max="3602" width="14.140625" customWidth="1"/>
    <col min="3603" max="3603" width="8.28515625" customWidth="1"/>
    <col min="3604" max="3604" width="14" customWidth="1"/>
    <col min="3605" max="3605" width="13.28515625" customWidth="1"/>
    <col min="3608" max="3608" width="10.140625" bestFit="1" customWidth="1"/>
    <col min="3609" max="3609" width="14.5703125" customWidth="1"/>
    <col min="3610" max="3610" width="11.42578125" customWidth="1"/>
    <col min="3611" max="3612" width="10.140625" customWidth="1"/>
    <col min="3841" max="3841" width="11.5703125" customWidth="1"/>
    <col min="3843" max="3843" width="30.140625" customWidth="1"/>
    <col min="3844" max="3855" width="0" hidden="1" customWidth="1"/>
    <col min="3856" max="3856" width="15.28515625" customWidth="1"/>
    <col min="3857" max="3857" width="14.85546875" customWidth="1"/>
    <col min="3858" max="3858" width="14.140625" customWidth="1"/>
    <col min="3859" max="3859" width="8.28515625" customWidth="1"/>
    <col min="3860" max="3860" width="14" customWidth="1"/>
    <col min="3861" max="3861" width="13.28515625" customWidth="1"/>
    <col min="3864" max="3864" width="10.140625" bestFit="1" customWidth="1"/>
    <col min="3865" max="3865" width="14.5703125" customWidth="1"/>
    <col min="3866" max="3866" width="11.42578125" customWidth="1"/>
    <col min="3867" max="3868" width="10.140625" customWidth="1"/>
    <col min="4097" max="4097" width="11.5703125" customWidth="1"/>
    <col min="4099" max="4099" width="30.140625" customWidth="1"/>
    <col min="4100" max="4111" width="0" hidden="1" customWidth="1"/>
    <col min="4112" max="4112" width="15.28515625" customWidth="1"/>
    <col min="4113" max="4113" width="14.85546875" customWidth="1"/>
    <col min="4114" max="4114" width="14.140625" customWidth="1"/>
    <col min="4115" max="4115" width="8.28515625" customWidth="1"/>
    <col min="4116" max="4116" width="14" customWidth="1"/>
    <col min="4117" max="4117" width="13.28515625" customWidth="1"/>
    <col min="4120" max="4120" width="10.140625" bestFit="1" customWidth="1"/>
    <col min="4121" max="4121" width="14.5703125" customWidth="1"/>
    <col min="4122" max="4122" width="11.42578125" customWidth="1"/>
    <col min="4123" max="4124" width="10.140625" customWidth="1"/>
    <col min="4353" max="4353" width="11.5703125" customWidth="1"/>
    <col min="4355" max="4355" width="30.140625" customWidth="1"/>
    <col min="4356" max="4367" width="0" hidden="1" customWidth="1"/>
    <col min="4368" max="4368" width="15.28515625" customWidth="1"/>
    <col min="4369" max="4369" width="14.85546875" customWidth="1"/>
    <col min="4370" max="4370" width="14.140625" customWidth="1"/>
    <col min="4371" max="4371" width="8.28515625" customWidth="1"/>
    <col min="4372" max="4372" width="14" customWidth="1"/>
    <col min="4373" max="4373" width="13.28515625" customWidth="1"/>
    <col min="4376" max="4376" width="10.140625" bestFit="1" customWidth="1"/>
    <col min="4377" max="4377" width="14.5703125" customWidth="1"/>
    <col min="4378" max="4378" width="11.42578125" customWidth="1"/>
    <col min="4379" max="4380" width="10.140625" customWidth="1"/>
    <col min="4609" max="4609" width="11.5703125" customWidth="1"/>
    <col min="4611" max="4611" width="30.140625" customWidth="1"/>
    <col min="4612" max="4623" width="0" hidden="1" customWidth="1"/>
    <col min="4624" max="4624" width="15.28515625" customWidth="1"/>
    <col min="4625" max="4625" width="14.85546875" customWidth="1"/>
    <col min="4626" max="4626" width="14.140625" customWidth="1"/>
    <col min="4627" max="4627" width="8.28515625" customWidth="1"/>
    <col min="4628" max="4628" width="14" customWidth="1"/>
    <col min="4629" max="4629" width="13.28515625" customWidth="1"/>
    <col min="4632" max="4632" width="10.140625" bestFit="1" customWidth="1"/>
    <col min="4633" max="4633" width="14.5703125" customWidth="1"/>
    <col min="4634" max="4634" width="11.42578125" customWidth="1"/>
    <col min="4635" max="4636" width="10.140625" customWidth="1"/>
    <col min="4865" max="4865" width="11.5703125" customWidth="1"/>
    <col min="4867" max="4867" width="30.140625" customWidth="1"/>
    <col min="4868" max="4879" width="0" hidden="1" customWidth="1"/>
    <col min="4880" max="4880" width="15.28515625" customWidth="1"/>
    <col min="4881" max="4881" width="14.85546875" customWidth="1"/>
    <col min="4882" max="4882" width="14.140625" customWidth="1"/>
    <col min="4883" max="4883" width="8.28515625" customWidth="1"/>
    <col min="4884" max="4884" width="14" customWidth="1"/>
    <col min="4885" max="4885" width="13.28515625" customWidth="1"/>
    <col min="4888" max="4888" width="10.140625" bestFit="1" customWidth="1"/>
    <col min="4889" max="4889" width="14.5703125" customWidth="1"/>
    <col min="4890" max="4890" width="11.42578125" customWidth="1"/>
    <col min="4891" max="4892" width="10.140625" customWidth="1"/>
    <col min="5121" max="5121" width="11.5703125" customWidth="1"/>
    <col min="5123" max="5123" width="30.140625" customWidth="1"/>
    <col min="5124" max="5135" width="0" hidden="1" customWidth="1"/>
    <col min="5136" max="5136" width="15.28515625" customWidth="1"/>
    <col min="5137" max="5137" width="14.85546875" customWidth="1"/>
    <col min="5138" max="5138" width="14.140625" customWidth="1"/>
    <col min="5139" max="5139" width="8.28515625" customWidth="1"/>
    <col min="5140" max="5140" width="14" customWidth="1"/>
    <col min="5141" max="5141" width="13.28515625" customWidth="1"/>
    <col min="5144" max="5144" width="10.140625" bestFit="1" customWidth="1"/>
    <col min="5145" max="5145" width="14.5703125" customWidth="1"/>
    <col min="5146" max="5146" width="11.42578125" customWidth="1"/>
    <col min="5147" max="5148" width="10.140625" customWidth="1"/>
    <col min="5377" max="5377" width="11.5703125" customWidth="1"/>
    <col min="5379" max="5379" width="30.140625" customWidth="1"/>
    <col min="5380" max="5391" width="0" hidden="1" customWidth="1"/>
    <col min="5392" max="5392" width="15.28515625" customWidth="1"/>
    <col min="5393" max="5393" width="14.85546875" customWidth="1"/>
    <col min="5394" max="5394" width="14.140625" customWidth="1"/>
    <col min="5395" max="5395" width="8.28515625" customWidth="1"/>
    <col min="5396" max="5396" width="14" customWidth="1"/>
    <col min="5397" max="5397" width="13.28515625" customWidth="1"/>
    <col min="5400" max="5400" width="10.140625" bestFit="1" customWidth="1"/>
    <col min="5401" max="5401" width="14.5703125" customWidth="1"/>
    <col min="5402" max="5402" width="11.42578125" customWidth="1"/>
    <col min="5403" max="5404" width="10.140625" customWidth="1"/>
    <col min="5633" max="5633" width="11.5703125" customWidth="1"/>
    <col min="5635" max="5635" width="30.140625" customWidth="1"/>
    <col min="5636" max="5647" width="0" hidden="1" customWidth="1"/>
    <col min="5648" max="5648" width="15.28515625" customWidth="1"/>
    <col min="5649" max="5649" width="14.85546875" customWidth="1"/>
    <col min="5650" max="5650" width="14.140625" customWidth="1"/>
    <col min="5651" max="5651" width="8.28515625" customWidth="1"/>
    <col min="5652" max="5652" width="14" customWidth="1"/>
    <col min="5653" max="5653" width="13.28515625" customWidth="1"/>
    <col min="5656" max="5656" width="10.140625" bestFit="1" customWidth="1"/>
    <col min="5657" max="5657" width="14.5703125" customWidth="1"/>
    <col min="5658" max="5658" width="11.42578125" customWidth="1"/>
    <col min="5659" max="5660" width="10.140625" customWidth="1"/>
    <col min="5889" max="5889" width="11.5703125" customWidth="1"/>
    <col min="5891" max="5891" width="30.140625" customWidth="1"/>
    <col min="5892" max="5903" width="0" hidden="1" customWidth="1"/>
    <col min="5904" max="5904" width="15.28515625" customWidth="1"/>
    <col min="5905" max="5905" width="14.85546875" customWidth="1"/>
    <col min="5906" max="5906" width="14.140625" customWidth="1"/>
    <col min="5907" max="5907" width="8.28515625" customWidth="1"/>
    <col min="5908" max="5908" width="14" customWidth="1"/>
    <col min="5909" max="5909" width="13.28515625" customWidth="1"/>
    <col min="5912" max="5912" width="10.140625" bestFit="1" customWidth="1"/>
    <col min="5913" max="5913" width="14.5703125" customWidth="1"/>
    <col min="5914" max="5914" width="11.42578125" customWidth="1"/>
    <col min="5915" max="5916" width="10.140625" customWidth="1"/>
    <col min="6145" max="6145" width="11.5703125" customWidth="1"/>
    <col min="6147" max="6147" width="30.140625" customWidth="1"/>
    <col min="6148" max="6159" width="0" hidden="1" customWidth="1"/>
    <col min="6160" max="6160" width="15.28515625" customWidth="1"/>
    <col min="6161" max="6161" width="14.85546875" customWidth="1"/>
    <col min="6162" max="6162" width="14.140625" customWidth="1"/>
    <col min="6163" max="6163" width="8.28515625" customWidth="1"/>
    <col min="6164" max="6164" width="14" customWidth="1"/>
    <col min="6165" max="6165" width="13.28515625" customWidth="1"/>
    <col min="6168" max="6168" width="10.140625" bestFit="1" customWidth="1"/>
    <col min="6169" max="6169" width="14.5703125" customWidth="1"/>
    <col min="6170" max="6170" width="11.42578125" customWidth="1"/>
    <col min="6171" max="6172" width="10.140625" customWidth="1"/>
    <col min="6401" max="6401" width="11.5703125" customWidth="1"/>
    <col min="6403" max="6403" width="30.140625" customWidth="1"/>
    <col min="6404" max="6415" width="0" hidden="1" customWidth="1"/>
    <col min="6416" max="6416" width="15.28515625" customWidth="1"/>
    <col min="6417" max="6417" width="14.85546875" customWidth="1"/>
    <col min="6418" max="6418" width="14.140625" customWidth="1"/>
    <col min="6419" max="6419" width="8.28515625" customWidth="1"/>
    <col min="6420" max="6420" width="14" customWidth="1"/>
    <col min="6421" max="6421" width="13.28515625" customWidth="1"/>
    <col min="6424" max="6424" width="10.140625" bestFit="1" customWidth="1"/>
    <col min="6425" max="6425" width="14.5703125" customWidth="1"/>
    <col min="6426" max="6426" width="11.42578125" customWidth="1"/>
    <col min="6427" max="6428" width="10.140625" customWidth="1"/>
    <col min="6657" max="6657" width="11.5703125" customWidth="1"/>
    <col min="6659" max="6659" width="30.140625" customWidth="1"/>
    <col min="6660" max="6671" width="0" hidden="1" customWidth="1"/>
    <col min="6672" max="6672" width="15.28515625" customWidth="1"/>
    <col min="6673" max="6673" width="14.85546875" customWidth="1"/>
    <col min="6674" max="6674" width="14.140625" customWidth="1"/>
    <col min="6675" max="6675" width="8.28515625" customWidth="1"/>
    <col min="6676" max="6676" width="14" customWidth="1"/>
    <col min="6677" max="6677" width="13.28515625" customWidth="1"/>
    <col min="6680" max="6680" width="10.140625" bestFit="1" customWidth="1"/>
    <col min="6681" max="6681" width="14.5703125" customWidth="1"/>
    <col min="6682" max="6682" width="11.42578125" customWidth="1"/>
    <col min="6683" max="6684" width="10.140625" customWidth="1"/>
    <col min="6913" max="6913" width="11.5703125" customWidth="1"/>
    <col min="6915" max="6915" width="30.140625" customWidth="1"/>
    <col min="6916" max="6927" width="0" hidden="1" customWidth="1"/>
    <col min="6928" max="6928" width="15.28515625" customWidth="1"/>
    <col min="6929" max="6929" width="14.85546875" customWidth="1"/>
    <col min="6930" max="6930" width="14.140625" customWidth="1"/>
    <col min="6931" max="6931" width="8.28515625" customWidth="1"/>
    <col min="6932" max="6932" width="14" customWidth="1"/>
    <col min="6933" max="6933" width="13.28515625" customWidth="1"/>
    <col min="6936" max="6936" width="10.140625" bestFit="1" customWidth="1"/>
    <col min="6937" max="6937" width="14.5703125" customWidth="1"/>
    <col min="6938" max="6938" width="11.42578125" customWidth="1"/>
    <col min="6939" max="6940" width="10.140625" customWidth="1"/>
    <col min="7169" max="7169" width="11.5703125" customWidth="1"/>
    <col min="7171" max="7171" width="30.140625" customWidth="1"/>
    <col min="7172" max="7183" width="0" hidden="1" customWidth="1"/>
    <col min="7184" max="7184" width="15.28515625" customWidth="1"/>
    <col min="7185" max="7185" width="14.85546875" customWidth="1"/>
    <col min="7186" max="7186" width="14.140625" customWidth="1"/>
    <col min="7187" max="7187" width="8.28515625" customWidth="1"/>
    <col min="7188" max="7188" width="14" customWidth="1"/>
    <col min="7189" max="7189" width="13.28515625" customWidth="1"/>
    <col min="7192" max="7192" width="10.140625" bestFit="1" customWidth="1"/>
    <col min="7193" max="7193" width="14.5703125" customWidth="1"/>
    <col min="7194" max="7194" width="11.42578125" customWidth="1"/>
    <col min="7195" max="7196" width="10.140625" customWidth="1"/>
    <col min="7425" max="7425" width="11.5703125" customWidth="1"/>
    <col min="7427" max="7427" width="30.140625" customWidth="1"/>
    <col min="7428" max="7439" width="0" hidden="1" customWidth="1"/>
    <col min="7440" max="7440" width="15.28515625" customWidth="1"/>
    <col min="7441" max="7441" width="14.85546875" customWidth="1"/>
    <col min="7442" max="7442" width="14.140625" customWidth="1"/>
    <col min="7443" max="7443" width="8.28515625" customWidth="1"/>
    <col min="7444" max="7444" width="14" customWidth="1"/>
    <col min="7445" max="7445" width="13.28515625" customWidth="1"/>
    <col min="7448" max="7448" width="10.140625" bestFit="1" customWidth="1"/>
    <col min="7449" max="7449" width="14.5703125" customWidth="1"/>
    <col min="7450" max="7450" width="11.42578125" customWidth="1"/>
    <col min="7451" max="7452" width="10.140625" customWidth="1"/>
    <col min="7681" max="7681" width="11.5703125" customWidth="1"/>
    <col min="7683" max="7683" width="30.140625" customWidth="1"/>
    <col min="7684" max="7695" width="0" hidden="1" customWidth="1"/>
    <col min="7696" max="7696" width="15.28515625" customWidth="1"/>
    <col min="7697" max="7697" width="14.85546875" customWidth="1"/>
    <col min="7698" max="7698" width="14.140625" customWidth="1"/>
    <col min="7699" max="7699" width="8.28515625" customWidth="1"/>
    <col min="7700" max="7700" width="14" customWidth="1"/>
    <col min="7701" max="7701" width="13.28515625" customWidth="1"/>
    <col min="7704" max="7704" width="10.140625" bestFit="1" customWidth="1"/>
    <col min="7705" max="7705" width="14.5703125" customWidth="1"/>
    <col min="7706" max="7706" width="11.42578125" customWidth="1"/>
    <col min="7707" max="7708" width="10.140625" customWidth="1"/>
    <col min="7937" max="7937" width="11.5703125" customWidth="1"/>
    <col min="7939" max="7939" width="30.140625" customWidth="1"/>
    <col min="7940" max="7951" width="0" hidden="1" customWidth="1"/>
    <col min="7952" max="7952" width="15.28515625" customWidth="1"/>
    <col min="7953" max="7953" width="14.85546875" customWidth="1"/>
    <col min="7954" max="7954" width="14.140625" customWidth="1"/>
    <col min="7955" max="7955" width="8.28515625" customWidth="1"/>
    <col min="7956" max="7956" width="14" customWidth="1"/>
    <col min="7957" max="7957" width="13.28515625" customWidth="1"/>
    <col min="7960" max="7960" width="10.140625" bestFit="1" customWidth="1"/>
    <col min="7961" max="7961" width="14.5703125" customWidth="1"/>
    <col min="7962" max="7962" width="11.42578125" customWidth="1"/>
    <col min="7963" max="7964" width="10.140625" customWidth="1"/>
    <col min="8193" max="8193" width="11.5703125" customWidth="1"/>
    <col min="8195" max="8195" width="30.140625" customWidth="1"/>
    <col min="8196" max="8207" width="0" hidden="1" customWidth="1"/>
    <col min="8208" max="8208" width="15.28515625" customWidth="1"/>
    <col min="8209" max="8209" width="14.85546875" customWidth="1"/>
    <col min="8210" max="8210" width="14.140625" customWidth="1"/>
    <col min="8211" max="8211" width="8.28515625" customWidth="1"/>
    <col min="8212" max="8212" width="14" customWidth="1"/>
    <col min="8213" max="8213" width="13.28515625" customWidth="1"/>
    <col min="8216" max="8216" width="10.140625" bestFit="1" customWidth="1"/>
    <col min="8217" max="8217" width="14.5703125" customWidth="1"/>
    <col min="8218" max="8218" width="11.42578125" customWidth="1"/>
    <col min="8219" max="8220" width="10.140625" customWidth="1"/>
    <col min="8449" max="8449" width="11.5703125" customWidth="1"/>
    <col min="8451" max="8451" width="30.140625" customWidth="1"/>
    <col min="8452" max="8463" width="0" hidden="1" customWidth="1"/>
    <col min="8464" max="8464" width="15.28515625" customWidth="1"/>
    <col min="8465" max="8465" width="14.85546875" customWidth="1"/>
    <col min="8466" max="8466" width="14.140625" customWidth="1"/>
    <col min="8467" max="8467" width="8.28515625" customWidth="1"/>
    <col min="8468" max="8468" width="14" customWidth="1"/>
    <col min="8469" max="8469" width="13.28515625" customWidth="1"/>
    <col min="8472" max="8472" width="10.140625" bestFit="1" customWidth="1"/>
    <col min="8473" max="8473" width="14.5703125" customWidth="1"/>
    <col min="8474" max="8474" width="11.42578125" customWidth="1"/>
    <col min="8475" max="8476" width="10.140625" customWidth="1"/>
    <col min="8705" max="8705" width="11.5703125" customWidth="1"/>
    <col min="8707" max="8707" width="30.140625" customWidth="1"/>
    <col min="8708" max="8719" width="0" hidden="1" customWidth="1"/>
    <col min="8720" max="8720" width="15.28515625" customWidth="1"/>
    <col min="8721" max="8721" width="14.85546875" customWidth="1"/>
    <col min="8722" max="8722" width="14.140625" customWidth="1"/>
    <col min="8723" max="8723" width="8.28515625" customWidth="1"/>
    <col min="8724" max="8724" width="14" customWidth="1"/>
    <col min="8725" max="8725" width="13.28515625" customWidth="1"/>
    <col min="8728" max="8728" width="10.140625" bestFit="1" customWidth="1"/>
    <col min="8729" max="8729" width="14.5703125" customWidth="1"/>
    <col min="8730" max="8730" width="11.42578125" customWidth="1"/>
    <col min="8731" max="8732" width="10.140625" customWidth="1"/>
    <col min="8961" max="8961" width="11.5703125" customWidth="1"/>
    <col min="8963" max="8963" width="30.140625" customWidth="1"/>
    <col min="8964" max="8975" width="0" hidden="1" customWidth="1"/>
    <col min="8976" max="8976" width="15.28515625" customWidth="1"/>
    <col min="8977" max="8977" width="14.85546875" customWidth="1"/>
    <col min="8978" max="8978" width="14.140625" customWidth="1"/>
    <col min="8979" max="8979" width="8.28515625" customWidth="1"/>
    <col min="8980" max="8980" width="14" customWidth="1"/>
    <col min="8981" max="8981" width="13.28515625" customWidth="1"/>
    <col min="8984" max="8984" width="10.140625" bestFit="1" customWidth="1"/>
    <col min="8985" max="8985" width="14.5703125" customWidth="1"/>
    <col min="8986" max="8986" width="11.42578125" customWidth="1"/>
    <col min="8987" max="8988" width="10.140625" customWidth="1"/>
    <col min="9217" max="9217" width="11.5703125" customWidth="1"/>
    <col min="9219" max="9219" width="30.140625" customWidth="1"/>
    <col min="9220" max="9231" width="0" hidden="1" customWidth="1"/>
    <col min="9232" max="9232" width="15.28515625" customWidth="1"/>
    <col min="9233" max="9233" width="14.85546875" customWidth="1"/>
    <col min="9234" max="9234" width="14.140625" customWidth="1"/>
    <col min="9235" max="9235" width="8.28515625" customWidth="1"/>
    <col min="9236" max="9236" width="14" customWidth="1"/>
    <col min="9237" max="9237" width="13.28515625" customWidth="1"/>
    <col min="9240" max="9240" width="10.140625" bestFit="1" customWidth="1"/>
    <col min="9241" max="9241" width="14.5703125" customWidth="1"/>
    <col min="9242" max="9242" width="11.42578125" customWidth="1"/>
    <col min="9243" max="9244" width="10.140625" customWidth="1"/>
    <col min="9473" max="9473" width="11.5703125" customWidth="1"/>
    <col min="9475" max="9475" width="30.140625" customWidth="1"/>
    <col min="9476" max="9487" width="0" hidden="1" customWidth="1"/>
    <col min="9488" max="9488" width="15.28515625" customWidth="1"/>
    <col min="9489" max="9489" width="14.85546875" customWidth="1"/>
    <col min="9490" max="9490" width="14.140625" customWidth="1"/>
    <col min="9491" max="9491" width="8.28515625" customWidth="1"/>
    <col min="9492" max="9492" width="14" customWidth="1"/>
    <col min="9493" max="9493" width="13.28515625" customWidth="1"/>
    <col min="9496" max="9496" width="10.140625" bestFit="1" customWidth="1"/>
    <col min="9497" max="9497" width="14.5703125" customWidth="1"/>
    <col min="9498" max="9498" width="11.42578125" customWidth="1"/>
    <col min="9499" max="9500" width="10.140625" customWidth="1"/>
    <col min="9729" max="9729" width="11.5703125" customWidth="1"/>
    <col min="9731" max="9731" width="30.140625" customWidth="1"/>
    <col min="9732" max="9743" width="0" hidden="1" customWidth="1"/>
    <col min="9744" max="9744" width="15.28515625" customWidth="1"/>
    <col min="9745" max="9745" width="14.85546875" customWidth="1"/>
    <col min="9746" max="9746" width="14.140625" customWidth="1"/>
    <col min="9747" max="9747" width="8.28515625" customWidth="1"/>
    <col min="9748" max="9748" width="14" customWidth="1"/>
    <col min="9749" max="9749" width="13.28515625" customWidth="1"/>
    <col min="9752" max="9752" width="10.140625" bestFit="1" customWidth="1"/>
    <col min="9753" max="9753" width="14.5703125" customWidth="1"/>
    <col min="9754" max="9754" width="11.42578125" customWidth="1"/>
    <col min="9755" max="9756" width="10.140625" customWidth="1"/>
    <col min="9985" max="9985" width="11.5703125" customWidth="1"/>
    <col min="9987" max="9987" width="30.140625" customWidth="1"/>
    <col min="9988" max="9999" width="0" hidden="1" customWidth="1"/>
    <col min="10000" max="10000" width="15.28515625" customWidth="1"/>
    <col min="10001" max="10001" width="14.85546875" customWidth="1"/>
    <col min="10002" max="10002" width="14.140625" customWidth="1"/>
    <col min="10003" max="10003" width="8.28515625" customWidth="1"/>
    <col min="10004" max="10004" width="14" customWidth="1"/>
    <col min="10005" max="10005" width="13.28515625" customWidth="1"/>
    <col min="10008" max="10008" width="10.140625" bestFit="1" customWidth="1"/>
    <col min="10009" max="10009" width="14.5703125" customWidth="1"/>
    <col min="10010" max="10010" width="11.42578125" customWidth="1"/>
    <col min="10011" max="10012" width="10.140625" customWidth="1"/>
    <col min="10241" max="10241" width="11.5703125" customWidth="1"/>
    <col min="10243" max="10243" width="30.140625" customWidth="1"/>
    <col min="10244" max="10255" width="0" hidden="1" customWidth="1"/>
    <col min="10256" max="10256" width="15.28515625" customWidth="1"/>
    <col min="10257" max="10257" width="14.85546875" customWidth="1"/>
    <col min="10258" max="10258" width="14.140625" customWidth="1"/>
    <col min="10259" max="10259" width="8.28515625" customWidth="1"/>
    <col min="10260" max="10260" width="14" customWidth="1"/>
    <col min="10261" max="10261" width="13.28515625" customWidth="1"/>
    <col min="10264" max="10264" width="10.140625" bestFit="1" customWidth="1"/>
    <col min="10265" max="10265" width="14.5703125" customWidth="1"/>
    <col min="10266" max="10266" width="11.42578125" customWidth="1"/>
    <col min="10267" max="10268" width="10.140625" customWidth="1"/>
    <col min="10497" max="10497" width="11.5703125" customWidth="1"/>
    <col min="10499" max="10499" width="30.140625" customWidth="1"/>
    <col min="10500" max="10511" width="0" hidden="1" customWidth="1"/>
    <col min="10512" max="10512" width="15.28515625" customWidth="1"/>
    <col min="10513" max="10513" width="14.85546875" customWidth="1"/>
    <col min="10514" max="10514" width="14.140625" customWidth="1"/>
    <col min="10515" max="10515" width="8.28515625" customWidth="1"/>
    <col min="10516" max="10516" width="14" customWidth="1"/>
    <col min="10517" max="10517" width="13.28515625" customWidth="1"/>
    <col min="10520" max="10520" width="10.140625" bestFit="1" customWidth="1"/>
    <col min="10521" max="10521" width="14.5703125" customWidth="1"/>
    <col min="10522" max="10522" width="11.42578125" customWidth="1"/>
    <col min="10523" max="10524" width="10.140625" customWidth="1"/>
    <col min="10753" max="10753" width="11.5703125" customWidth="1"/>
    <col min="10755" max="10755" width="30.140625" customWidth="1"/>
    <col min="10756" max="10767" width="0" hidden="1" customWidth="1"/>
    <col min="10768" max="10768" width="15.28515625" customWidth="1"/>
    <col min="10769" max="10769" width="14.85546875" customWidth="1"/>
    <col min="10770" max="10770" width="14.140625" customWidth="1"/>
    <col min="10771" max="10771" width="8.28515625" customWidth="1"/>
    <col min="10772" max="10772" width="14" customWidth="1"/>
    <col min="10773" max="10773" width="13.28515625" customWidth="1"/>
    <col min="10776" max="10776" width="10.140625" bestFit="1" customWidth="1"/>
    <col min="10777" max="10777" width="14.5703125" customWidth="1"/>
    <col min="10778" max="10778" width="11.42578125" customWidth="1"/>
    <col min="10779" max="10780" width="10.140625" customWidth="1"/>
    <col min="11009" max="11009" width="11.5703125" customWidth="1"/>
    <col min="11011" max="11011" width="30.140625" customWidth="1"/>
    <col min="11012" max="11023" width="0" hidden="1" customWidth="1"/>
    <col min="11024" max="11024" width="15.28515625" customWidth="1"/>
    <col min="11025" max="11025" width="14.85546875" customWidth="1"/>
    <col min="11026" max="11026" width="14.140625" customWidth="1"/>
    <col min="11027" max="11027" width="8.28515625" customWidth="1"/>
    <col min="11028" max="11028" width="14" customWidth="1"/>
    <col min="11029" max="11029" width="13.28515625" customWidth="1"/>
    <col min="11032" max="11032" width="10.140625" bestFit="1" customWidth="1"/>
    <col min="11033" max="11033" width="14.5703125" customWidth="1"/>
    <col min="11034" max="11034" width="11.42578125" customWidth="1"/>
    <col min="11035" max="11036" width="10.140625" customWidth="1"/>
    <col min="11265" max="11265" width="11.5703125" customWidth="1"/>
    <col min="11267" max="11267" width="30.140625" customWidth="1"/>
    <col min="11268" max="11279" width="0" hidden="1" customWidth="1"/>
    <col min="11280" max="11280" width="15.28515625" customWidth="1"/>
    <col min="11281" max="11281" width="14.85546875" customWidth="1"/>
    <col min="11282" max="11282" width="14.140625" customWidth="1"/>
    <col min="11283" max="11283" width="8.28515625" customWidth="1"/>
    <col min="11284" max="11284" width="14" customWidth="1"/>
    <col min="11285" max="11285" width="13.28515625" customWidth="1"/>
    <col min="11288" max="11288" width="10.140625" bestFit="1" customWidth="1"/>
    <col min="11289" max="11289" width="14.5703125" customWidth="1"/>
    <col min="11290" max="11290" width="11.42578125" customWidth="1"/>
    <col min="11291" max="11292" width="10.140625" customWidth="1"/>
    <col min="11521" max="11521" width="11.5703125" customWidth="1"/>
    <col min="11523" max="11523" width="30.140625" customWidth="1"/>
    <col min="11524" max="11535" width="0" hidden="1" customWidth="1"/>
    <col min="11536" max="11536" width="15.28515625" customWidth="1"/>
    <col min="11537" max="11537" width="14.85546875" customWidth="1"/>
    <col min="11538" max="11538" width="14.140625" customWidth="1"/>
    <col min="11539" max="11539" width="8.28515625" customWidth="1"/>
    <col min="11540" max="11540" width="14" customWidth="1"/>
    <col min="11541" max="11541" width="13.28515625" customWidth="1"/>
    <col min="11544" max="11544" width="10.140625" bestFit="1" customWidth="1"/>
    <col min="11545" max="11545" width="14.5703125" customWidth="1"/>
    <col min="11546" max="11546" width="11.42578125" customWidth="1"/>
    <col min="11547" max="11548" width="10.140625" customWidth="1"/>
    <col min="11777" max="11777" width="11.5703125" customWidth="1"/>
    <col min="11779" max="11779" width="30.140625" customWidth="1"/>
    <col min="11780" max="11791" width="0" hidden="1" customWidth="1"/>
    <col min="11792" max="11792" width="15.28515625" customWidth="1"/>
    <col min="11793" max="11793" width="14.85546875" customWidth="1"/>
    <col min="11794" max="11794" width="14.140625" customWidth="1"/>
    <col min="11795" max="11795" width="8.28515625" customWidth="1"/>
    <col min="11796" max="11796" width="14" customWidth="1"/>
    <col min="11797" max="11797" width="13.28515625" customWidth="1"/>
    <col min="11800" max="11800" width="10.140625" bestFit="1" customWidth="1"/>
    <col min="11801" max="11801" width="14.5703125" customWidth="1"/>
    <col min="11802" max="11802" width="11.42578125" customWidth="1"/>
    <col min="11803" max="11804" width="10.140625" customWidth="1"/>
    <col min="12033" max="12033" width="11.5703125" customWidth="1"/>
    <col min="12035" max="12035" width="30.140625" customWidth="1"/>
    <col min="12036" max="12047" width="0" hidden="1" customWidth="1"/>
    <col min="12048" max="12048" width="15.28515625" customWidth="1"/>
    <col min="12049" max="12049" width="14.85546875" customWidth="1"/>
    <col min="12050" max="12050" width="14.140625" customWidth="1"/>
    <col min="12051" max="12051" width="8.28515625" customWidth="1"/>
    <col min="12052" max="12052" width="14" customWidth="1"/>
    <col min="12053" max="12053" width="13.28515625" customWidth="1"/>
    <col min="12056" max="12056" width="10.140625" bestFit="1" customWidth="1"/>
    <col min="12057" max="12057" width="14.5703125" customWidth="1"/>
    <col min="12058" max="12058" width="11.42578125" customWidth="1"/>
    <col min="12059" max="12060" width="10.140625" customWidth="1"/>
    <col min="12289" max="12289" width="11.5703125" customWidth="1"/>
    <col min="12291" max="12291" width="30.140625" customWidth="1"/>
    <col min="12292" max="12303" width="0" hidden="1" customWidth="1"/>
    <col min="12304" max="12304" width="15.28515625" customWidth="1"/>
    <col min="12305" max="12305" width="14.85546875" customWidth="1"/>
    <col min="12306" max="12306" width="14.140625" customWidth="1"/>
    <col min="12307" max="12307" width="8.28515625" customWidth="1"/>
    <col min="12308" max="12308" width="14" customWidth="1"/>
    <col min="12309" max="12309" width="13.28515625" customWidth="1"/>
    <col min="12312" max="12312" width="10.140625" bestFit="1" customWidth="1"/>
    <col min="12313" max="12313" width="14.5703125" customWidth="1"/>
    <col min="12314" max="12314" width="11.42578125" customWidth="1"/>
    <col min="12315" max="12316" width="10.140625" customWidth="1"/>
    <col min="12545" max="12545" width="11.5703125" customWidth="1"/>
    <col min="12547" max="12547" width="30.140625" customWidth="1"/>
    <col min="12548" max="12559" width="0" hidden="1" customWidth="1"/>
    <col min="12560" max="12560" width="15.28515625" customWidth="1"/>
    <col min="12561" max="12561" width="14.85546875" customWidth="1"/>
    <col min="12562" max="12562" width="14.140625" customWidth="1"/>
    <col min="12563" max="12563" width="8.28515625" customWidth="1"/>
    <col min="12564" max="12564" width="14" customWidth="1"/>
    <col min="12565" max="12565" width="13.28515625" customWidth="1"/>
    <col min="12568" max="12568" width="10.140625" bestFit="1" customWidth="1"/>
    <col min="12569" max="12569" width="14.5703125" customWidth="1"/>
    <col min="12570" max="12570" width="11.42578125" customWidth="1"/>
    <col min="12571" max="12572" width="10.140625" customWidth="1"/>
    <col min="12801" max="12801" width="11.5703125" customWidth="1"/>
    <col min="12803" max="12803" width="30.140625" customWidth="1"/>
    <col min="12804" max="12815" width="0" hidden="1" customWidth="1"/>
    <col min="12816" max="12816" width="15.28515625" customWidth="1"/>
    <col min="12817" max="12817" width="14.85546875" customWidth="1"/>
    <col min="12818" max="12818" width="14.140625" customWidth="1"/>
    <col min="12819" max="12819" width="8.28515625" customWidth="1"/>
    <col min="12820" max="12820" width="14" customWidth="1"/>
    <col min="12821" max="12821" width="13.28515625" customWidth="1"/>
    <col min="12824" max="12824" width="10.140625" bestFit="1" customWidth="1"/>
    <col min="12825" max="12825" width="14.5703125" customWidth="1"/>
    <col min="12826" max="12826" width="11.42578125" customWidth="1"/>
    <col min="12827" max="12828" width="10.140625" customWidth="1"/>
    <col min="13057" max="13057" width="11.5703125" customWidth="1"/>
    <col min="13059" max="13059" width="30.140625" customWidth="1"/>
    <col min="13060" max="13071" width="0" hidden="1" customWidth="1"/>
    <col min="13072" max="13072" width="15.28515625" customWidth="1"/>
    <col min="13073" max="13073" width="14.85546875" customWidth="1"/>
    <col min="13074" max="13074" width="14.140625" customWidth="1"/>
    <col min="13075" max="13075" width="8.28515625" customWidth="1"/>
    <col min="13076" max="13076" width="14" customWidth="1"/>
    <col min="13077" max="13077" width="13.28515625" customWidth="1"/>
    <col min="13080" max="13080" width="10.140625" bestFit="1" customWidth="1"/>
    <col min="13081" max="13081" width="14.5703125" customWidth="1"/>
    <col min="13082" max="13082" width="11.42578125" customWidth="1"/>
    <col min="13083" max="13084" width="10.140625" customWidth="1"/>
    <col min="13313" max="13313" width="11.5703125" customWidth="1"/>
    <col min="13315" max="13315" width="30.140625" customWidth="1"/>
    <col min="13316" max="13327" width="0" hidden="1" customWidth="1"/>
    <col min="13328" max="13328" width="15.28515625" customWidth="1"/>
    <col min="13329" max="13329" width="14.85546875" customWidth="1"/>
    <col min="13330" max="13330" width="14.140625" customWidth="1"/>
    <col min="13331" max="13331" width="8.28515625" customWidth="1"/>
    <col min="13332" max="13332" width="14" customWidth="1"/>
    <col min="13333" max="13333" width="13.28515625" customWidth="1"/>
    <col min="13336" max="13336" width="10.140625" bestFit="1" customWidth="1"/>
    <col min="13337" max="13337" width="14.5703125" customWidth="1"/>
    <col min="13338" max="13338" width="11.42578125" customWidth="1"/>
    <col min="13339" max="13340" width="10.140625" customWidth="1"/>
    <col min="13569" max="13569" width="11.5703125" customWidth="1"/>
    <col min="13571" max="13571" width="30.140625" customWidth="1"/>
    <col min="13572" max="13583" width="0" hidden="1" customWidth="1"/>
    <col min="13584" max="13584" width="15.28515625" customWidth="1"/>
    <col min="13585" max="13585" width="14.85546875" customWidth="1"/>
    <col min="13586" max="13586" width="14.140625" customWidth="1"/>
    <col min="13587" max="13587" width="8.28515625" customWidth="1"/>
    <col min="13588" max="13588" width="14" customWidth="1"/>
    <col min="13589" max="13589" width="13.28515625" customWidth="1"/>
    <col min="13592" max="13592" width="10.140625" bestFit="1" customWidth="1"/>
    <col min="13593" max="13593" width="14.5703125" customWidth="1"/>
    <col min="13594" max="13594" width="11.42578125" customWidth="1"/>
    <col min="13595" max="13596" width="10.140625" customWidth="1"/>
    <col min="13825" max="13825" width="11.5703125" customWidth="1"/>
    <col min="13827" max="13827" width="30.140625" customWidth="1"/>
    <col min="13828" max="13839" width="0" hidden="1" customWidth="1"/>
    <col min="13840" max="13840" width="15.28515625" customWidth="1"/>
    <col min="13841" max="13841" width="14.85546875" customWidth="1"/>
    <col min="13842" max="13842" width="14.140625" customWidth="1"/>
    <col min="13843" max="13843" width="8.28515625" customWidth="1"/>
    <col min="13844" max="13844" width="14" customWidth="1"/>
    <col min="13845" max="13845" width="13.28515625" customWidth="1"/>
    <col min="13848" max="13848" width="10.140625" bestFit="1" customWidth="1"/>
    <col min="13849" max="13849" width="14.5703125" customWidth="1"/>
    <col min="13850" max="13850" width="11.42578125" customWidth="1"/>
    <col min="13851" max="13852" width="10.140625" customWidth="1"/>
    <col min="14081" max="14081" width="11.5703125" customWidth="1"/>
    <col min="14083" max="14083" width="30.140625" customWidth="1"/>
    <col min="14084" max="14095" width="0" hidden="1" customWidth="1"/>
    <col min="14096" max="14096" width="15.28515625" customWidth="1"/>
    <col min="14097" max="14097" width="14.85546875" customWidth="1"/>
    <col min="14098" max="14098" width="14.140625" customWidth="1"/>
    <col min="14099" max="14099" width="8.28515625" customWidth="1"/>
    <col min="14100" max="14100" width="14" customWidth="1"/>
    <col min="14101" max="14101" width="13.28515625" customWidth="1"/>
    <col min="14104" max="14104" width="10.140625" bestFit="1" customWidth="1"/>
    <col min="14105" max="14105" width="14.5703125" customWidth="1"/>
    <col min="14106" max="14106" width="11.42578125" customWidth="1"/>
    <col min="14107" max="14108" width="10.140625" customWidth="1"/>
    <col min="14337" max="14337" width="11.5703125" customWidth="1"/>
    <col min="14339" max="14339" width="30.140625" customWidth="1"/>
    <col min="14340" max="14351" width="0" hidden="1" customWidth="1"/>
    <col min="14352" max="14352" width="15.28515625" customWidth="1"/>
    <col min="14353" max="14353" width="14.85546875" customWidth="1"/>
    <col min="14354" max="14354" width="14.140625" customWidth="1"/>
    <col min="14355" max="14355" width="8.28515625" customWidth="1"/>
    <col min="14356" max="14356" width="14" customWidth="1"/>
    <col min="14357" max="14357" width="13.28515625" customWidth="1"/>
    <col min="14360" max="14360" width="10.140625" bestFit="1" customWidth="1"/>
    <col min="14361" max="14361" width="14.5703125" customWidth="1"/>
    <col min="14362" max="14362" width="11.42578125" customWidth="1"/>
    <col min="14363" max="14364" width="10.140625" customWidth="1"/>
    <col min="14593" max="14593" width="11.5703125" customWidth="1"/>
    <col min="14595" max="14595" width="30.140625" customWidth="1"/>
    <col min="14596" max="14607" width="0" hidden="1" customWidth="1"/>
    <col min="14608" max="14608" width="15.28515625" customWidth="1"/>
    <col min="14609" max="14609" width="14.85546875" customWidth="1"/>
    <col min="14610" max="14610" width="14.140625" customWidth="1"/>
    <col min="14611" max="14611" width="8.28515625" customWidth="1"/>
    <col min="14612" max="14612" width="14" customWidth="1"/>
    <col min="14613" max="14613" width="13.28515625" customWidth="1"/>
    <col min="14616" max="14616" width="10.140625" bestFit="1" customWidth="1"/>
    <col min="14617" max="14617" width="14.5703125" customWidth="1"/>
    <col min="14618" max="14618" width="11.42578125" customWidth="1"/>
    <col min="14619" max="14620" width="10.140625" customWidth="1"/>
    <col min="14849" max="14849" width="11.5703125" customWidth="1"/>
    <col min="14851" max="14851" width="30.140625" customWidth="1"/>
    <col min="14852" max="14863" width="0" hidden="1" customWidth="1"/>
    <col min="14864" max="14864" width="15.28515625" customWidth="1"/>
    <col min="14865" max="14865" width="14.85546875" customWidth="1"/>
    <col min="14866" max="14866" width="14.140625" customWidth="1"/>
    <col min="14867" max="14867" width="8.28515625" customWidth="1"/>
    <col min="14868" max="14868" width="14" customWidth="1"/>
    <col min="14869" max="14869" width="13.28515625" customWidth="1"/>
    <col min="14872" max="14872" width="10.140625" bestFit="1" customWidth="1"/>
    <col min="14873" max="14873" width="14.5703125" customWidth="1"/>
    <col min="14874" max="14874" width="11.42578125" customWidth="1"/>
    <col min="14875" max="14876" width="10.140625" customWidth="1"/>
    <col min="15105" max="15105" width="11.5703125" customWidth="1"/>
    <col min="15107" max="15107" width="30.140625" customWidth="1"/>
    <col min="15108" max="15119" width="0" hidden="1" customWidth="1"/>
    <col min="15120" max="15120" width="15.28515625" customWidth="1"/>
    <col min="15121" max="15121" width="14.85546875" customWidth="1"/>
    <col min="15122" max="15122" width="14.140625" customWidth="1"/>
    <col min="15123" max="15123" width="8.28515625" customWidth="1"/>
    <col min="15124" max="15124" width="14" customWidth="1"/>
    <col min="15125" max="15125" width="13.28515625" customWidth="1"/>
    <col min="15128" max="15128" width="10.140625" bestFit="1" customWidth="1"/>
    <col min="15129" max="15129" width="14.5703125" customWidth="1"/>
    <col min="15130" max="15130" width="11.42578125" customWidth="1"/>
    <col min="15131" max="15132" width="10.140625" customWidth="1"/>
    <col min="15361" max="15361" width="11.5703125" customWidth="1"/>
    <col min="15363" max="15363" width="30.140625" customWidth="1"/>
    <col min="15364" max="15375" width="0" hidden="1" customWidth="1"/>
    <col min="15376" max="15376" width="15.28515625" customWidth="1"/>
    <col min="15377" max="15377" width="14.85546875" customWidth="1"/>
    <col min="15378" max="15378" width="14.140625" customWidth="1"/>
    <col min="15379" max="15379" width="8.28515625" customWidth="1"/>
    <col min="15380" max="15380" width="14" customWidth="1"/>
    <col min="15381" max="15381" width="13.28515625" customWidth="1"/>
    <col min="15384" max="15384" width="10.140625" bestFit="1" customWidth="1"/>
    <col min="15385" max="15385" width="14.5703125" customWidth="1"/>
    <col min="15386" max="15386" width="11.42578125" customWidth="1"/>
    <col min="15387" max="15388" width="10.140625" customWidth="1"/>
    <col min="15617" max="15617" width="11.5703125" customWidth="1"/>
    <col min="15619" max="15619" width="30.140625" customWidth="1"/>
    <col min="15620" max="15631" width="0" hidden="1" customWidth="1"/>
    <col min="15632" max="15632" width="15.28515625" customWidth="1"/>
    <col min="15633" max="15633" width="14.85546875" customWidth="1"/>
    <col min="15634" max="15634" width="14.140625" customWidth="1"/>
    <col min="15635" max="15635" width="8.28515625" customWidth="1"/>
    <col min="15636" max="15636" width="14" customWidth="1"/>
    <col min="15637" max="15637" width="13.28515625" customWidth="1"/>
    <col min="15640" max="15640" width="10.140625" bestFit="1" customWidth="1"/>
    <col min="15641" max="15641" width="14.5703125" customWidth="1"/>
    <col min="15642" max="15642" width="11.42578125" customWidth="1"/>
    <col min="15643" max="15644" width="10.140625" customWidth="1"/>
    <col min="15873" max="15873" width="11.5703125" customWidth="1"/>
    <col min="15875" max="15875" width="30.140625" customWidth="1"/>
    <col min="15876" max="15887" width="0" hidden="1" customWidth="1"/>
    <col min="15888" max="15888" width="15.28515625" customWidth="1"/>
    <col min="15889" max="15889" width="14.85546875" customWidth="1"/>
    <col min="15890" max="15890" width="14.140625" customWidth="1"/>
    <col min="15891" max="15891" width="8.28515625" customWidth="1"/>
    <col min="15892" max="15892" width="14" customWidth="1"/>
    <col min="15893" max="15893" width="13.28515625" customWidth="1"/>
    <col min="15896" max="15896" width="10.140625" bestFit="1" customWidth="1"/>
    <col min="15897" max="15897" width="14.5703125" customWidth="1"/>
    <col min="15898" max="15898" width="11.42578125" customWidth="1"/>
    <col min="15899" max="15900" width="10.140625" customWidth="1"/>
    <col min="16129" max="16129" width="11.5703125" customWidth="1"/>
    <col min="16131" max="16131" width="30.140625" customWidth="1"/>
    <col min="16132" max="16143" width="0" hidden="1" customWidth="1"/>
    <col min="16144" max="16144" width="15.28515625" customWidth="1"/>
    <col min="16145" max="16145" width="14.85546875" customWidth="1"/>
    <col min="16146" max="16146" width="14.140625" customWidth="1"/>
    <col min="16147" max="16147" width="8.28515625" customWidth="1"/>
    <col min="16148" max="16148" width="14" customWidth="1"/>
    <col min="16149" max="16149" width="13.28515625" customWidth="1"/>
    <col min="16152" max="16152" width="10.140625" bestFit="1" customWidth="1"/>
    <col min="16153" max="16153" width="14.5703125" customWidth="1"/>
    <col min="16154" max="16154" width="11.42578125" customWidth="1"/>
    <col min="16155" max="16156" width="10.140625" customWidth="1"/>
  </cols>
  <sheetData>
    <row r="1" spans="1:23" ht="15.75" thickBot="1" x14ac:dyDescent="0.3">
      <c r="A1" s="834" t="s">
        <v>438</v>
      </c>
      <c r="B1" s="834"/>
      <c r="C1" s="834"/>
    </row>
    <row r="2" spans="1:23" ht="14.25" customHeight="1" thickTop="1" x14ac:dyDescent="0.25">
      <c r="A2" s="801" t="s">
        <v>120</v>
      </c>
      <c r="B2" s="803" t="s">
        <v>1</v>
      </c>
      <c r="C2" s="805" t="s">
        <v>121</v>
      </c>
      <c r="D2" s="751" t="s">
        <v>122</v>
      </c>
      <c r="E2" s="751" t="s">
        <v>123</v>
      </c>
      <c r="F2" s="751" t="s">
        <v>124</v>
      </c>
      <c r="G2" s="751" t="s">
        <v>125</v>
      </c>
      <c r="H2" s="751" t="s">
        <v>126</v>
      </c>
      <c r="I2" s="751" t="s">
        <v>8</v>
      </c>
      <c r="J2" s="751" t="s">
        <v>9</v>
      </c>
      <c r="K2" s="751" t="s">
        <v>10</v>
      </c>
      <c r="L2" s="751" t="s">
        <v>11</v>
      </c>
      <c r="M2" s="751" t="s">
        <v>12</v>
      </c>
      <c r="N2" s="751" t="s">
        <v>13</v>
      </c>
      <c r="O2" s="751" t="s">
        <v>14</v>
      </c>
      <c r="P2" s="751" t="s">
        <v>15</v>
      </c>
      <c r="Q2" s="751" t="s">
        <v>16</v>
      </c>
      <c r="R2" s="753" t="s">
        <v>17</v>
      </c>
      <c r="S2" s="791" t="s">
        <v>18</v>
      </c>
      <c r="T2" s="785" t="s">
        <v>426</v>
      </c>
      <c r="U2" s="787" t="s">
        <v>427</v>
      </c>
    </row>
    <row r="3" spans="1:23" ht="33.75" customHeight="1" thickBot="1" x14ac:dyDescent="0.3">
      <c r="A3" s="802"/>
      <c r="B3" s="804"/>
      <c r="C3" s="806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  <c r="O3" s="752"/>
      <c r="P3" s="752"/>
      <c r="Q3" s="752"/>
      <c r="R3" s="754"/>
      <c r="S3" s="792"/>
      <c r="T3" s="786"/>
      <c r="U3" s="788"/>
    </row>
    <row r="4" spans="1:23" ht="33" customHeight="1" thickTop="1" thickBot="1" x14ac:dyDescent="0.3">
      <c r="A4" s="143" t="s">
        <v>127</v>
      </c>
      <c r="B4" s="807" t="s">
        <v>128</v>
      </c>
      <c r="C4" s="808"/>
      <c r="D4" s="144">
        <f>SUM(D5:D8)</f>
        <v>778928</v>
      </c>
      <c r="E4" s="144">
        <f>SUM(E5:E9)</f>
        <v>871108</v>
      </c>
      <c r="F4" s="144">
        <f>SUM(F5:F9)</f>
        <v>1155712</v>
      </c>
      <c r="G4" s="144">
        <f>SUM(G5:G9)</f>
        <v>1166481</v>
      </c>
      <c r="H4" s="144">
        <f t="shared" ref="H4:U4" si="0">SUM(H5:H8)</f>
        <v>1147628</v>
      </c>
      <c r="I4" s="144">
        <f t="shared" si="0"/>
        <v>985015</v>
      </c>
      <c r="J4" s="144">
        <f t="shared" si="0"/>
        <v>971730</v>
      </c>
      <c r="K4" s="144">
        <f t="shared" si="0"/>
        <v>883614</v>
      </c>
      <c r="L4" s="145">
        <f t="shared" si="0"/>
        <v>976223.29</v>
      </c>
      <c r="M4" s="145">
        <f t="shared" si="0"/>
        <v>957107.49</v>
      </c>
      <c r="N4" s="146">
        <f t="shared" si="0"/>
        <v>918554.61999999988</v>
      </c>
      <c r="O4" s="147">
        <f t="shared" si="0"/>
        <v>1019134.8</v>
      </c>
      <c r="P4" s="147">
        <f>SUM(P5:P8)</f>
        <v>1045488.5499999999</v>
      </c>
      <c r="Q4" s="146">
        <f>SUM(Q5:Q8)</f>
        <v>1306866</v>
      </c>
      <c r="R4" s="146">
        <v>1320935</v>
      </c>
      <c r="S4" s="148">
        <v>1.0107654495564198</v>
      </c>
      <c r="T4" s="648">
        <v>1320935</v>
      </c>
      <c r="U4" s="649">
        <v>1320935</v>
      </c>
    </row>
    <row r="5" spans="1:23" x14ac:dyDescent="0.25">
      <c r="A5" s="795"/>
      <c r="B5" s="149">
        <v>610</v>
      </c>
      <c r="C5" s="60" t="s">
        <v>129</v>
      </c>
      <c r="D5" s="61">
        <v>363938</v>
      </c>
      <c r="E5" s="61">
        <v>383290</v>
      </c>
      <c r="F5" s="61">
        <v>452765</v>
      </c>
      <c r="G5" s="61">
        <v>532728</v>
      </c>
      <c r="H5" s="61">
        <v>538578</v>
      </c>
      <c r="I5" s="60">
        <v>504967</v>
      </c>
      <c r="J5" s="61">
        <v>465252</v>
      </c>
      <c r="K5" s="61">
        <v>431649</v>
      </c>
      <c r="L5" s="130">
        <v>437364.06</v>
      </c>
      <c r="M5" s="130">
        <v>454979.56</v>
      </c>
      <c r="N5" s="21">
        <v>470394.73</v>
      </c>
      <c r="O5" s="20">
        <v>508902.26</v>
      </c>
      <c r="P5" s="20">
        <v>540360.73</v>
      </c>
      <c r="Q5" s="21">
        <v>710915</v>
      </c>
      <c r="R5" s="150">
        <v>740807</v>
      </c>
      <c r="S5" s="151">
        <v>1.042047220835121</v>
      </c>
      <c r="T5" s="650">
        <v>740807</v>
      </c>
      <c r="U5" s="651">
        <v>740807</v>
      </c>
      <c r="W5" s="204"/>
    </row>
    <row r="6" spans="1:23" x14ac:dyDescent="0.25">
      <c r="A6" s="796"/>
      <c r="B6" s="152">
        <v>620</v>
      </c>
      <c r="C6" s="62" t="s">
        <v>130</v>
      </c>
      <c r="D6" s="63">
        <v>111465</v>
      </c>
      <c r="E6" s="63">
        <v>132411</v>
      </c>
      <c r="F6" s="63">
        <v>158202</v>
      </c>
      <c r="G6" s="63">
        <v>187864</v>
      </c>
      <c r="H6" s="63">
        <v>188430</v>
      </c>
      <c r="I6" s="62">
        <v>189093</v>
      </c>
      <c r="J6" s="63">
        <v>179953</v>
      </c>
      <c r="K6" s="63">
        <v>175243</v>
      </c>
      <c r="L6" s="131">
        <v>178000.1</v>
      </c>
      <c r="M6" s="131">
        <v>174131.76</v>
      </c>
      <c r="N6" s="27">
        <v>179809.87</v>
      </c>
      <c r="O6" s="26">
        <v>197673.12</v>
      </c>
      <c r="P6" s="26">
        <v>207010.55</v>
      </c>
      <c r="Q6" s="27">
        <v>262306</v>
      </c>
      <c r="R6" s="27">
        <v>274798</v>
      </c>
      <c r="S6" s="151">
        <v>1.0476237676606712</v>
      </c>
      <c r="T6" s="652">
        <v>274798</v>
      </c>
      <c r="U6" s="653">
        <v>274798</v>
      </c>
    </row>
    <row r="7" spans="1:23" x14ac:dyDescent="0.25">
      <c r="A7" s="796"/>
      <c r="B7" s="152">
        <v>630</v>
      </c>
      <c r="C7" s="62" t="s">
        <v>131</v>
      </c>
      <c r="D7" s="63">
        <v>303525</v>
      </c>
      <c r="E7" s="63">
        <v>353781</v>
      </c>
      <c r="F7" s="63">
        <v>543916</v>
      </c>
      <c r="G7" s="63">
        <v>395781</v>
      </c>
      <c r="H7" s="63">
        <v>413206</v>
      </c>
      <c r="I7" s="62">
        <v>272860</v>
      </c>
      <c r="J7" s="63">
        <v>302729</v>
      </c>
      <c r="K7" s="63">
        <v>273797</v>
      </c>
      <c r="L7" s="131">
        <v>356359.19</v>
      </c>
      <c r="M7" s="131">
        <v>297179.95</v>
      </c>
      <c r="N7" s="27">
        <v>260734.03999999998</v>
      </c>
      <c r="O7" s="26">
        <v>294411.15000000002</v>
      </c>
      <c r="P7" s="26">
        <v>296326.19</v>
      </c>
      <c r="Q7" s="27">
        <v>299145</v>
      </c>
      <c r="R7" s="153">
        <v>305330</v>
      </c>
      <c r="S7" s="151">
        <v>1.0206755921041635</v>
      </c>
      <c r="T7" s="652">
        <v>305330</v>
      </c>
      <c r="U7" s="653">
        <v>305330</v>
      </c>
    </row>
    <row r="8" spans="1:23" ht="15.75" thickBot="1" x14ac:dyDescent="0.3">
      <c r="A8" s="796"/>
      <c r="B8" s="152">
        <v>640</v>
      </c>
      <c r="C8" s="62" t="s">
        <v>132</v>
      </c>
      <c r="D8" s="63"/>
      <c r="E8" s="63">
        <v>564</v>
      </c>
      <c r="F8" s="63">
        <v>232</v>
      </c>
      <c r="G8" s="63">
        <v>49367</v>
      </c>
      <c r="H8" s="63">
        <v>7414</v>
      </c>
      <c r="I8" s="62">
        <v>18095</v>
      </c>
      <c r="J8" s="154">
        <v>23796</v>
      </c>
      <c r="K8" s="154">
        <v>2925</v>
      </c>
      <c r="L8" s="155">
        <v>4499.9399999999996</v>
      </c>
      <c r="M8" s="131">
        <v>30816.22</v>
      </c>
      <c r="N8" s="27">
        <v>7615.98</v>
      </c>
      <c r="O8" s="26">
        <v>18148.27</v>
      </c>
      <c r="P8" s="26">
        <v>1791.08</v>
      </c>
      <c r="Q8" s="27">
        <v>34500</v>
      </c>
      <c r="R8" s="153"/>
      <c r="S8" s="156">
        <v>0</v>
      </c>
      <c r="T8" s="654"/>
      <c r="U8" s="655"/>
    </row>
    <row r="9" spans="1:23" ht="15.75" hidden="1" thickBot="1" x14ac:dyDescent="0.3">
      <c r="A9" s="797"/>
      <c r="B9" s="152">
        <v>650</v>
      </c>
      <c r="C9" s="62"/>
      <c r="D9" s="63"/>
      <c r="E9" s="63">
        <v>1062</v>
      </c>
      <c r="F9" s="63">
        <v>597</v>
      </c>
      <c r="G9" s="63">
        <v>741</v>
      </c>
      <c r="H9" s="63"/>
      <c r="I9" s="157"/>
      <c r="J9" s="157"/>
      <c r="K9" s="157"/>
      <c r="L9" s="158"/>
      <c r="M9" s="159"/>
      <c r="N9" s="100"/>
      <c r="O9" s="100"/>
      <c r="P9" s="100"/>
      <c r="Q9" s="100"/>
      <c r="R9" s="160"/>
      <c r="S9" s="161">
        <v>0</v>
      </c>
      <c r="T9" s="162"/>
      <c r="U9" s="656"/>
    </row>
    <row r="10" spans="1:23" ht="15.75" thickBot="1" x14ac:dyDescent="0.3">
      <c r="A10" s="163" t="s">
        <v>133</v>
      </c>
      <c r="B10" s="762" t="s">
        <v>134</v>
      </c>
      <c r="C10" s="761"/>
      <c r="D10" s="164">
        <v>7269</v>
      </c>
      <c r="E10" s="164">
        <v>6772</v>
      </c>
      <c r="F10" s="164">
        <v>8265</v>
      </c>
      <c r="G10" s="164">
        <v>13828</v>
      </c>
      <c r="H10" s="87">
        <f t="shared" ref="H10:M10" si="1">SUM(H11:H13)</f>
        <v>14882</v>
      </c>
      <c r="I10" s="87">
        <f t="shared" si="1"/>
        <v>14051</v>
      </c>
      <c r="J10" s="87">
        <f t="shared" si="1"/>
        <v>82274</v>
      </c>
      <c r="K10" s="87">
        <f t="shared" si="1"/>
        <v>22548</v>
      </c>
      <c r="L10" s="88">
        <f t="shared" si="1"/>
        <v>18623.79</v>
      </c>
      <c r="M10" s="88">
        <f t="shared" si="1"/>
        <v>22356.78</v>
      </c>
      <c r="N10" s="165">
        <f>SUM(N11:N13)</f>
        <v>18604.68</v>
      </c>
      <c r="O10" s="166">
        <f>SUM(O11:O13)</f>
        <v>11492.61</v>
      </c>
      <c r="P10" s="166">
        <f>SUM(P11:P13)</f>
        <v>22020.720000000001</v>
      </c>
      <c r="Q10" s="165">
        <f>SUM(Q11:Q13)</f>
        <v>16500</v>
      </c>
      <c r="R10" s="165">
        <v>16500</v>
      </c>
      <c r="S10" s="167">
        <v>1</v>
      </c>
      <c r="T10" s="89">
        <v>16500</v>
      </c>
      <c r="U10" s="657">
        <v>16500</v>
      </c>
    </row>
    <row r="11" spans="1:23" x14ac:dyDescent="0.25">
      <c r="A11" s="809"/>
      <c r="B11" s="168">
        <v>630</v>
      </c>
      <c r="C11" s="17" t="s">
        <v>135</v>
      </c>
      <c r="D11" s="169"/>
      <c r="E11" s="169"/>
      <c r="F11" s="169"/>
      <c r="G11" s="169"/>
      <c r="H11" s="169">
        <v>2345</v>
      </c>
      <c r="I11" s="17">
        <v>2324</v>
      </c>
      <c r="J11" s="61">
        <v>1162</v>
      </c>
      <c r="K11" s="61">
        <v>2324</v>
      </c>
      <c r="L11" s="130">
        <v>3486</v>
      </c>
      <c r="M11" s="170">
        <v>2324</v>
      </c>
      <c r="N11" s="19">
        <v>2324</v>
      </c>
      <c r="O11" s="171">
        <v>1162</v>
      </c>
      <c r="P11" s="171">
        <v>2324</v>
      </c>
      <c r="Q11" s="19">
        <v>3500</v>
      </c>
      <c r="R11" s="172">
        <v>3500</v>
      </c>
      <c r="S11" s="151">
        <v>1</v>
      </c>
      <c r="T11" s="19">
        <v>3500</v>
      </c>
      <c r="U11" s="651">
        <v>3500</v>
      </c>
    </row>
    <row r="12" spans="1:23" x14ac:dyDescent="0.25">
      <c r="A12" s="810"/>
      <c r="B12" s="173">
        <v>630</v>
      </c>
      <c r="C12" s="23" t="s">
        <v>136</v>
      </c>
      <c r="D12" s="174"/>
      <c r="E12" s="174"/>
      <c r="F12" s="174"/>
      <c r="G12" s="174"/>
      <c r="H12" s="174">
        <v>12537</v>
      </c>
      <c r="I12" s="23">
        <v>11727</v>
      </c>
      <c r="J12" s="63">
        <v>13096</v>
      </c>
      <c r="K12" s="63">
        <v>9612</v>
      </c>
      <c r="L12" s="131">
        <v>14911.65</v>
      </c>
      <c r="M12" s="175">
        <v>19064.189999999999</v>
      </c>
      <c r="N12" s="25">
        <v>8451.5499999999993</v>
      </c>
      <c r="O12" s="118">
        <v>6786.26</v>
      </c>
      <c r="P12" s="118">
        <v>16482.330000000002</v>
      </c>
      <c r="Q12" s="25">
        <v>13000</v>
      </c>
      <c r="R12" s="25">
        <v>13000</v>
      </c>
      <c r="S12" s="156">
        <v>1</v>
      </c>
      <c r="T12" s="25">
        <v>13000</v>
      </c>
      <c r="U12" s="653">
        <v>13000</v>
      </c>
    </row>
    <row r="13" spans="1:23" ht="15.75" thickBot="1" x14ac:dyDescent="0.3">
      <c r="A13" s="811"/>
      <c r="B13" s="176">
        <v>630</v>
      </c>
      <c r="C13" s="177" t="s">
        <v>137</v>
      </c>
      <c r="D13" s="178"/>
      <c r="E13" s="178"/>
      <c r="F13" s="178"/>
      <c r="G13" s="178"/>
      <c r="H13" s="178"/>
      <c r="I13" s="177"/>
      <c r="J13" s="63">
        <v>68016</v>
      </c>
      <c r="K13" s="63">
        <v>10612</v>
      </c>
      <c r="L13" s="51">
        <v>226.14</v>
      </c>
      <c r="M13" s="179">
        <v>968.59</v>
      </c>
      <c r="N13" s="50">
        <v>7829.13</v>
      </c>
      <c r="O13" s="179">
        <v>3544.35</v>
      </c>
      <c r="P13" s="179">
        <v>3214.39</v>
      </c>
      <c r="Q13" s="50"/>
      <c r="R13" s="180"/>
      <c r="S13" s="161">
        <v>0</v>
      </c>
      <c r="T13" s="162"/>
      <c r="U13" s="658"/>
    </row>
    <row r="14" spans="1:23" ht="15.75" thickBot="1" x14ac:dyDescent="0.3">
      <c r="A14" s="163" t="s">
        <v>138</v>
      </c>
      <c r="B14" s="762" t="s">
        <v>139</v>
      </c>
      <c r="C14" s="761"/>
      <c r="D14" s="164">
        <v>20846</v>
      </c>
      <c r="E14" s="164">
        <v>22240</v>
      </c>
      <c r="F14" s="164">
        <v>25427</v>
      </c>
      <c r="G14" s="164">
        <v>26903</v>
      </c>
      <c r="H14" s="87">
        <f>SUM(H15:H17)</f>
        <v>29798</v>
      </c>
      <c r="I14" s="87">
        <f>SUM(I15:I17)</f>
        <v>28936</v>
      </c>
      <c r="J14" s="87">
        <f>SUM(J15:J17)</f>
        <v>27963</v>
      </c>
      <c r="K14" s="87">
        <f t="shared" ref="K14:R14" si="2">SUM(K15:K18)</f>
        <v>24050</v>
      </c>
      <c r="L14" s="88">
        <f t="shared" si="2"/>
        <v>25050.219999999998</v>
      </c>
      <c r="M14" s="88">
        <f t="shared" si="2"/>
        <v>28488.050000000003</v>
      </c>
      <c r="N14" s="165">
        <f t="shared" si="2"/>
        <v>30083.289999999997</v>
      </c>
      <c r="O14" s="166">
        <f t="shared" si="2"/>
        <v>33186.080000000002</v>
      </c>
      <c r="P14" s="166">
        <f t="shared" si="2"/>
        <v>29084.07</v>
      </c>
      <c r="Q14" s="165">
        <f t="shared" si="2"/>
        <v>43675</v>
      </c>
      <c r="R14" s="165">
        <v>39855</v>
      </c>
      <c r="S14" s="167">
        <v>0.91253577561534061</v>
      </c>
      <c r="T14" s="89">
        <v>39855</v>
      </c>
      <c r="U14" s="657">
        <v>39855</v>
      </c>
    </row>
    <row r="15" spans="1:23" x14ac:dyDescent="0.25">
      <c r="A15" s="809"/>
      <c r="B15" s="149">
        <v>610</v>
      </c>
      <c r="C15" s="181" t="s">
        <v>129</v>
      </c>
      <c r="D15" s="182"/>
      <c r="E15" s="182">
        <v>13875</v>
      </c>
      <c r="F15" s="182">
        <v>15734</v>
      </c>
      <c r="G15" s="182">
        <v>16231</v>
      </c>
      <c r="H15" s="182">
        <v>16787</v>
      </c>
      <c r="I15" s="60">
        <v>17943</v>
      </c>
      <c r="J15" s="61">
        <v>18167</v>
      </c>
      <c r="K15" s="61">
        <v>15592</v>
      </c>
      <c r="L15" s="20">
        <v>15883.66</v>
      </c>
      <c r="M15" s="20">
        <v>19536.88</v>
      </c>
      <c r="N15" s="21">
        <v>20405.939999999999</v>
      </c>
      <c r="O15" s="20">
        <v>22741.57</v>
      </c>
      <c r="P15" s="20">
        <v>20172.560000000001</v>
      </c>
      <c r="Q15" s="21">
        <v>29937</v>
      </c>
      <c r="R15" s="150">
        <v>26946</v>
      </c>
      <c r="S15" s="151">
        <v>0.90009018939773522</v>
      </c>
      <c r="T15" s="650">
        <v>26946</v>
      </c>
      <c r="U15" s="651">
        <v>26946</v>
      </c>
    </row>
    <row r="16" spans="1:23" x14ac:dyDescent="0.25">
      <c r="A16" s="810"/>
      <c r="B16" s="152">
        <v>620</v>
      </c>
      <c r="C16" s="183" t="s">
        <v>130</v>
      </c>
      <c r="D16" s="184"/>
      <c r="E16" s="184">
        <v>4647</v>
      </c>
      <c r="F16" s="184">
        <v>5411</v>
      </c>
      <c r="G16" s="184">
        <v>5677</v>
      </c>
      <c r="H16" s="184">
        <v>6011</v>
      </c>
      <c r="I16" s="62">
        <v>6464</v>
      </c>
      <c r="J16" s="63">
        <v>6580</v>
      </c>
      <c r="K16" s="63">
        <v>5691</v>
      </c>
      <c r="L16" s="26">
        <v>6220</v>
      </c>
      <c r="M16" s="26">
        <v>6654.3</v>
      </c>
      <c r="N16" s="27">
        <v>7320.69</v>
      </c>
      <c r="O16" s="26">
        <v>8093.18</v>
      </c>
      <c r="P16" s="26">
        <v>6866.62</v>
      </c>
      <c r="Q16" s="27">
        <v>11038</v>
      </c>
      <c r="R16" s="153">
        <v>10209</v>
      </c>
      <c r="S16" s="156">
        <v>0.92489581445914115</v>
      </c>
      <c r="T16" s="652">
        <v>10209</v>
      </c>
      <c r="U16" s="653">
        <v>10209</v>
      </c>
    </row>
    <row r="17" spans="1:21" x14ac:dyDescent="0.25">
      <c r="A17" s="810"/>
      <c r="B17" s="152">
        <v>630</v>
      </c>
      <c r="C17" s="183" t="s">
        <v>131</v>
      </c>
      <c r="D17" s="184"/>
      <c r="E17" s="184">
        <v>3718</v>
      </c>
      <c r="F17" s="184">
        <v>4282</v>
      </c>
      <c r="G17" s="184">
        <v>4995</v>
      </c>
      <c r="H17" s="184">
        <v>7000</v>
      </c>
      <c r="I17" s="62">
        <v>4529</v>
      </c>
      <c r="J17" s="63">
        <v>3216</v>
      </c>
      <c r="K17" s="63">
        <v>2533</v>
      </c>
      <c r="L17" s="26">
        <v>2610.08</v>
      </c>
      <c r="M17" s="26">
        <v>2181.04</v>
      </c>
      <c r="N17" s="27">
        <v>2356.66</v>
      </c>
      <c r="O17" s="26">
        <v>2351.33</v>
      </c>
      <c r="P17" s="26">
        <v>1891.13</v>
      </c>
      <c r="Q17" s="27">
        <v>2700</v>
      </c>
      <c r="R17" s="153">
        <v>2700</v>
      </c>
      <c r="S17" s="156">
        <v>1</v>
      </c>
      <c r="T17" s="652">
        <v>2700</v>
      </c>
      <c r="U17" s="653">
        <v>2700</v>
      </c>
    </row>
    <row r="18" spans="1:21" ht="15.75" thickBot="1" x14ac:dyDescent="0.3">
      <c r="A18" s="811"/>
      <c r="B18" s="739"/>
      <c r="C18" s="157"/>
      <c r="D18" s="185"/>
      <c r="E18" s="185"/>
      <c r="F18" s="185"/>
      <c r="G18" s="185"/>
      <c r="H18" s="185"/>
      <c r="I18" s="186"/>
      <c r="J18" s="63"/>
      <c r="K18" s="63">
        <v>234</v>
      </c>
      <c r="L18" s="92">
        <v>336.48</v>
      </c>
      <c r="M18" s="92">
        <v>115.83</v>
      </c>
      <c r="N18" s="93"/>
      <c r="O18" s="93"/>
      <c r="P18" s="93">
        <v>153.76</v>
      </c>
      <c r="Q18" s="93"/>
      <c r="R18" s="187"/>
      <c r="S18" s="161">
        <v>0</v>
      </c>
      <c r="T18" s="162"/>
      <c r="U18" s="656"/>
    </row>
    <row r="19" spans="1:21" ht="15.75" thickBot="1" x14ac:dyDescent="0.3">
      <c r="A19" s="163" t="s">
        <v>140</v>
      </c>
      <c r="B19" s="762" t="s">
        <v>141</v>
      </c>
      <c r="C19" s="761"/>
      <c r="D19" s="164">
        <v>13145</v>
      </c>
      <c r="E19" s="164">
        <v>10057</v>
      </c>
      <c r="F19" s="164">
        <v>8498</v>
      </c>
      <c r="G19" s="164">
        <v>54518</v>
      </c>
      <c r="H19" s="87">
        <f t="shared" ref="H19:T19" si="3">H22+H20+H21+H23+H24</f>
        <v>31457</v>
      </c>
      <c r="I19" s="87">
        <f t="shared" si="3"/>
        <v>31963</v>
      </c>
      <c r="J19" s="87">
        <f t="shared" si="3"/>
        <v>33449</v>
      </c>
      <c r="K19" s="87">
        <f t="shared" si="3"/>
        <v>18092</v>
      </c>
      <c r="L19" s="88">
        <f t="shared" si="3"/>
        <v>54586.799999999996</v>
      </c>
      <c r="M19" s="88">
        <f t="shared" si="3"/>
        <v>16584.939999999999</v>
      </c>
      <c r="N19" s="87">
        <f t="shared" si="3"/>
        <v>25483.510000000002</v>
      </c>
      <c r="O19" s="88">
        <f t="shared" si="3"/>
        <v>21980.289999999997</v>
      </c>
      <c r="P19" s="88">
        <f>P22+P20+P21+P23+P24</f>
        <v>22643.670000000002</v>
      </c>
      <c r="Q19" s="87">
        <f t="shared" si="3"/>
        <v>17467</v>
      </c>
      <c r="R19" s="165">
        <v>17781</v>
      </c>
      <c r="S19" s="167">
        <v>1.0179767561687754</v>
      </c>
      <c r="T19" s="659">
        <v>17781</v>
      </c>
      <c r="U19" s="617">
        <v>17781</v>
      </c>
    </row>
    <row r="20" spans="1:21" x14ac:dyDescent="0.25">
      <c r="A20" s="812"/>
      <c r="B20" s="188">
        <v>610</v>
      </c>
      <c r="C20" s="181" t="s">
        <v>129</v>
      </c>
      <c r="D20" s="182"/>
      <c r="E20" s="182">
        <v>0</v>
      </c>
      <c r="F20" s="182">
        <v>4482</v>
      </c>
      <c r="G20" s="182">
        <v>7787</v>
      </c>
      <c r="H20" s="182">
        <v>7509</v>
      </c>
      <c r="I20" s="181">
        <v>7692</v>
      </c>
      <c r="J20" s="61">
        <v>7969</v>
      </c>
      <c r="K20" s="61">
        <v>7777</v>
      </c>
      <c r="L20" s="20">
        <v>7662.08</v>
      </c>
      <c r="M20" s="20">
        <v>8679.9500000000007</v>
      </c>
      <c r="N20" s="21">
        <v>9877.67</v>
      </c>
      <c r="O20" s="20">
        <v>9786.5300000000007</v>
      </c>
      <c r="P20" s="20">
        <v>11379.37</v>
      </c>
      <c r="Q20" s="21">
        <v>12349</v>
      </c>
      <c r="R20" s="150">
        <v>12582</v>
      </c>
      <c r="S20" s="151">
        <v>1.0188679245283019</v>
      </c>
      <c r="T20" s="650">
        <v>12582</v>
      </c>
      <c r="U20" s="651">
        <v>12582</v>
      </c>
    </row>
    <row r="21" spans="1:21" x14ac:dyDescent="0.25">
      <c r="A21" s="813"/>
      <c r="B21" s="189">
        <v>620</v>
      </c>
      <c r="C21" s="183" t="s">
        <v>130</v>
      </c>
      <c r="D21" s="154"/>
      <c r="E21" s="154">
        <v>0</v>
      </c>
      <c r="F21" s="154">
        <v>2058</v>
      </c>
      <c r="G21" s="154">
        <v>3864</v>
      </c>
      <c r="H21" s="154">
        <v>2426</v>
      </c>
      <c r="I21" s="183">
        <v>2683</v>
      </c>
      <c r="J21" s="63">
        <v>3469</v>
      </c>
      <c r="K21" s="63">
        <v>3267</v>
      </c>
      <c r="L21" s="26">
        <v>3320.66</v>
      </c>
      <c r="M21" s="26">
        <v>3113.97</v>
      </c>
      <c r="N21" s="27">
        <v>3720.13</v>
      </c>
      <c r="O21" s="26">
        <v>3643.9399999999996</v>
      </c>
      <c r="P21" s="26">
        <v>4236.46</v>
      </c>
      <c r="Q21" s="27">
        <v>4568</v>
      </c>
      <c r="R21" s="153">
        <v>4649</v>
      </c>
      <c r="S21" s="156">
        <v>1.0177320490367776</v>
      </c>
      <c r="T21" s="652">
        <v>4649</v>
      </c>
      <c r="U21" s="653">
        <v>4649</v>
      </c>
    </row>
    <row r="22" spans="1:21" x14ac:dyDescent="0.25">
      <c r="A22" s="813"/>
      <c r="B22" s="189">
        <v>630</v>
      </c>
      <c r="C22" s="183" t="s">
        <v>131</v>
      </c>
      <c r="D22" s="154"/>
      <c r="E22" s="154">
        <v>0</v>
      </c>
      <c r="F22" s="154">
        <v>1958</v>
      </c>
      <c r="G22" s="154">
        <v>42867</v>
      </c>
      <c r="H22" s="154">
        <v>1012</v>
      </c>
      <c r="I22" s="183">
        <v>989</v>
      </c>
      <c r="J22" s="63">
        <v>1227</v>
      </c>
      <c r="K22" s="63">
        <v>947</v>
      </c>
      <c r="L22" s="26">
        <v>588.04</v>
      </c>
      <c r="M22" s="26">
        <v>634.67999999999995</v>
      </c>
      <c r="N22" s="27">
        <v>827.63</v>
      </c>
      <c r="O22" s="26">
        <v>828.40000000000055</v>
      </c>
      <c r="P22" s="26">
        <v>675.31999999999971</v>
      </c>
      <c r="Q22" s="27">
        <v>550</v>
      </c>
      <c r="R22" s="153">
        <v>550</v>
      </c>
      <c r="S22" s="156">
        <v>1</v>
      </c>
      <c r="T22" s="652">
        <v>550</v>
      </c>
      <c r="U22" s="653">
        <v>550</v>
      </c>
    </row>
    <row r="23" spans="1:21" x14ac:dyDescent="0.25">
      <c r="A23" s="813"/>
      <c r="B23" s="189">
        <v>640</v>
      </c>
      <c r="C23" s="62" t="s">
        <v>132</v>
      </c>
      <c r="D23" s="63"/>
      <c r="E23" s="63"/>
      <c r="F23" s="63"/>
      <c r="G23" s="63"/>
      <c r="H23" s="63"/>
      <c r="I23" s="62"/>
      <c r="J23" s="63">
        <v>3100</v>
      </c>
      <c r="K23" s="63"/>
      <c r="L23" s="27"/>
      <c r="M23" s="26">
        <v>113.93</v>
      </c>
      <c r="N23" s="27"/>
      <c r="O23" s="26">
        <v>124.72</v>
      </c>
      <c r="P23" s="26"/>
      <c r="Q23" s="27"/>
      <c r="R23" s="153"/>
      <c r="S23" s="156">
        <v>0</v>
      </c>
      <c r="T23" s="652"/>
      <c r="U23" s="653"/>
    </row>
    <row r="24" spans="1:21" ht="15.75" thickBot="1" x14ac:dyDescent="0.3">
      <c r="A24" s="814"/>
      <c r="B24" s="190">
        <v>600</v>
      </c>
      <c r="C24" s="157" t="s">
        <v>142</v>
      </c>
      <c r="D24" s="191"/>
      <c r="E24" s="191"/>
      <c r="F24" s="191"/>
      <c r="G24" s="191"/>
      <c r="H24" s="63">
        <v>20510</v>
      </c>
      <c r="I24" s="157">
        <v>20599</v>
      </c>
      <c r="J24" s="63">
        <v>17684</v>
      </c>
      <c r="K24" s="63">
        <v>6101</v>
      </c>
      <c r="L24" s="92">
        <v>43016.02</v>
      </c>
      <c r="M24" s="92">
        <v>4042.409999999998</v>
      </c>
      <c r="N24" s="93">
        <v>11058.08</v>
      </c>
      <c r="O24" s="92">
        <v>7596.7</v>
      </c>
      <c r="P24" s="92">
        <v>6352.52</v>
      </c>
      <c r="Q24" s="93"/>
      <c r="R24" s="187"/>
      <c r="S24" s="161">
        <v>0</v>
      </c>
      <c r="T24" s="162"/>
      <c r="U24" s="656"/>
    </row>
    <row r="25" spans="1:21" ht="15.75" thickBot="1" x14ac:dyDescent="0.3">
      <c r="A25" s="163" t="s">
        <v>143</v>
      </c>
      <c r="B25" s="762" t="s">
        <v>144</v>
      </c>
      <c r="C25" s="761"/>
      <c r="D25" s="192">
        <f>D26</f>
        <v>86802</v>
      </c>
      <c r="E25" s="192">
        <f>E26</f>
        <v>77342</v>
      </c>
      <c r="F25" s="192">
        <f>F26</f>
        <v>79566</v>
      </c>
      <c r="G25" s="192">
        <f>G26</f>
        <v>75201</v>
      </c>
      <c r="H25" s="192">
        <f>H26</f>
        <v>66074</v>
      </c>
      <c r="I25" s="87">
        <f t="shared" ref="I25:R25" si="4">I26</f>
        <v>84841</v>
      </c>
      <c r="J25" s="87">
        <f t="shared" si="4"/>
        <v>92558</v>
      </c>
      <c r="K25" s="87">
        <f t="shared" si="4"/>
        <v>89614</v>
      </c>
      <c r="L25" s="88">
        <f>L26</f>
        <v>87966.26</v>
      </c>
      <c r="M25" s="88">
        <f t="shared" si="4"/>
        <v>89070.75</v>
      </c>
      <c r="N25" s="165">
        <f t="shared" si="4"/>
        <v>84152.6</v>
      </c>
      <c r="O25" s="166">
        <f t="shared" si="4"/>
        <v>63074.71</v>
      </c>
      <c r="P25" s="166">
        <f t="shared" si="4"/>
        <v>62531</v>
      </c>
      <c r="Q25" s="165">
        <f t="shared" si="4"/>
        <v>70000</v>
      </c>
      <c r="R25" s="165">
        <v>65000</v>
      </c>
      <c r="S25" s="193">
        <v>0.9285714285714286</v>
      </c>
      <c r="T25" s="659">
        <v>65000</v>
      </c>
      <c r="U25" s="617">
        <v>65000</v>
      </c>
    </row>
    <row r="26" spans="1:21" ht="15.75" thickBot="1" x14ac:dyDescent="0.3">
      <c r="A26" s="194"/>
      <c r="B26" s="195">
        <v>630</v>
      </c>
      <c r="C26" s="196" t="s">
        <v>145</v>
      </c>
      <c r="D26" s="197">
        <v>86802</v>
      </c>
      <c r="E26" s="197">
        <v>77342</v>
      </c>
      <c r="F26" s="197">
        <v>79566</v>
      </c>
      <c r="G26" s="197">
        <v>75201</v>
      </c>
      <c r="H26" s="197">
        <v>66074</v>
      </c>
      <c r="I26" s="186">
        <v>84841</v>
      </c>
      <c r="J26" s="186">
        <v>92558</v>
      </c>
      <c r="K26" s="107">
        <v>89614</v>
      </c>
      <c r="L26" s="92">
        <v>87966.26</v>
      </c>
      <c r="M26" s="92">
        <v>89070.75</v>
      </c>
      <c r="N26" s="93">
        <v>84152.6</v>
      </c>
      <c r="O26" s="92">
        <v>63074.71</v>
      </c>
      <c r="P26" s="92">
        <v>62531</v>
      </c>
      <c r="Q26" s="93">
        <v>70000</v>
      </c>
      <c r="R26" s="187">
        <v>65000</v>
      </c>
      <c r="S26" s="198">
        <v>0.9285714285714286</v>
      </c>
      <c r="T26" s="660">
        <v>65000</v>
      </c>
      <c r="U26" s="661">
        <v>65000</v>
      </c>
    </row>
    <row r="27" spans="1:21" ht="15.75" thickBot="1" x14ac:dyDescent="0.3">
      <c r="A27" s="163" t="s">
        <v>146</v>
      </c>
      <c r="B27" s="762" t="s">
        <v>147</v>
      </c>
      <c r="C27" s="761"/>
      <c r="D27" s="192">
        <f>D28</f>
        <v>0</v>
      </c>
      <c r="E27" s="192">
        <f>E28</f>
        <v>1826</v>
      </c>
      <c r="F27" s="192">
        <f>F28</f>
        <v>66</v>
      </c>
      <c r="G27" s="192">
        <f>G28</f>
        <v>770</v>
      </c>
      <c r="H27" s="192">
        <f>H28</f>
        <v>2589</v>
      </c>
      <c r="I27" s="87">
        <f t="shared" ref="I27:T27" si="5">I28</f>
        <v>366</v>
      </c>
      <c r="J27" s="87">
        <f t="shared" si="5"/>
        <v>274</v>
      </c>
      <c r="K27" s="87">
        <f t="shared" si="5"/>
        <v>464</v>
      </c>
      <c r="L27" s="87">
        <f t="shared" si="5"/>
        <v>276.29000000000002</v>
      </c>
      <c r="M27" s="88">
        <f t="shared" si="5"/>
        <v>34.4</v>
      </c>
      <c r="N27" s="165">
        <f t="shared" si="5"/>
        <v>81.5</v>
      </c>
      <c r="O27" s="166">
        <f t="shared" si="5"/>
        <v>1.5</v>
      </c>
      <c r="P27" s="166">
        <f t="shared" si="5"/>
        <v>1.5</v>
      </c>
      <c r="Q27" s="165">
        <f t="shared" si="5"/>
        <v>500</v>
      </c>
      <c r="R27" s="165">
        <v>500</v>
      </c>
      <c r="S27" s="193">
        <v>1</v>
      </c>
      <c r="T27" s="659">
        <v>500</v>
      </c>
      <c r="U27" s="617">
        <v>500</v>
      </c>
    </row>
    <row r="28" spans="1:21" ht="15.75" thickBot="1" x14ac:dyDescent="0.3">
      <c r="A28" s="199"/>
      <c r="B28" s="200"/>
      <c r="C28" s="196" t="s">
        <v>148</v>
      </c>
      <c r="D28" s="197">
        <v>0</v>
      </c>
      <c r="E28" s="197">
        <v>1826</v>
      </c>
      <c r="F28" s="197">
        <v>66</v>
      </c>
      <c r="G28" s="197">
        <v>770</v>
      </c>
      <c r="H28" s="197">
        <v>2589</v>
      </c>
      <c r="I28" s="186">
        <v>366</v>
      </c>
      <c r="J28" s="186">
        <v>274</v>
      </c>
      <c r="K28" s="107">
        <v>464</v>
      </c>
      <c r="L28" s="92">
        <v>276.29000000000002</v>
      </c>
      <c r="M28" s="92">
        <v>34.4</v>
      </c>
      <c r="N28" s="93">
        <v>81.5</v>
      </c>
      <c r="O28" s="92">
        <v>1.5</v>
      </c>
      <c r="P28" s="92">
        <v>1.5</v>
      </c>
      <c r="Q28" s="93">
        <v>500</v>
      </c>
      <c r="R28" s="187">
        <v>500</v>
      </c>
      <c r="S28" s="167">
        <v>1</v>
      </c>
      <c r="T28" s="662">
        <v>500</v>
      </c>
      <c r="U28" s="620">
        <v>500</v>
      </c>
    </row>
    <row r="29" spans="1:21" ht="15.75" thickBot="1" x14ac:dyDescent="0.3">
      <c r="A29" s="163" t="s">
        <v>149</v>
      </c>
      <c r="B29" s="762" t="s">
        <v>150</v>
      </c>
      <c r="C29" s="761"/>
      <c r="D29" s="164">
        <v>80362</v>
      </c>
      <c r="E29" s="164">
        <v>93674</v>
      </c>
      <c r="F29" s="164">
        <v>104461</v>
      </c>
      <c r="G29" s="164">
        <v>126342</v>
      </c>
      <c r="H29" s="87">
        <f>SUM(H30:H32)</f>
        <v>137485</v>
      </c>
      <c r="I29" s="87">
        <f>SUM(I30:I32)</f>
        <v>141454</v>
      </c>
      <c r="J29" s="87">
        <f>SUM(J30:J32)</f>
        <v>150296</v>
      </c>
      <c r="K29" s="87">
        <f>SUM(K30:K32)</f>
        <v>153336</v>
      </c>
      <c r="L29" s="88">
        <f t="shared" ref="L29:Q29" si="6">SUM(L30:L33)</f>
        <v>153063.15</v>
      </c>
      <c r="M29" s="88">
        <f t="shared" si="6"/>
        <v>160199.88999999998</v>
      </c>
      <c r="N29" s="165">
        <f t="shared" si="6"/>
        <v>160815.16</v>
      </c>
      <c r="O29" s="166">
        <f t="shared" si="6"/>
        <v>182466.47</v>
      </c>
      <c r="P29" s="166">
        <f t="shared" si="6"/>
        <v>205874.57</v>
      </c>
      <c r="Q29" s="165">
        <f t="shared" si="6"/>
        <v>233564</v>
      </c>
      <c r="R29" s="165">
        <v>287628</v>
      </c>
      <c r="S29" s="193">
        <v>1.2314740285317942</v>
      </c>
      <c r="T29" s="659">
        <v>287628</v>
      </c>
      <c r="U29" s="617">
        <v>287628</v>
      </c>
    </row>
    <row r="30" spans="1:21" x14ac:dyDescent="0.25">
      <c r="A30" s="795"/>
      <c r="B30" s="188">
        <v>610</v>
      </c>
      <c r="C30" s="60" t="s">
        <v>129</v>
      </c>
      <c r="D30" s="201"/>
      <c r="E30" s="201">
        <v>56762</v>
      </c>
      <c r="F30" s="201">
        <v>60944</v>
      </c>
      <c r="G30" s="201">
        <v>75340</v>
      </c>
      <c r="H30" s="201">
        <v>84414</v>
      </c>
      <c r="I30" s="60">
        <v>89012</v>
      </c>
      <c r="J30" s="61">
        <v>92984</v>
      </c>
      <c r="K30" s="61">
        <v>93001</v>
      </c>
      <c r="L30" s="130">
        <v>93672.78</v>
      </c>
      <c r="M30" s="130">
        <v>102320.64</v>
      </c>
      <c r="N30" s="21">
        <v>102319.48</v>
      </c>
      <c r="O30" s="20">
        <v>109786.57</v>
      </c>
      <c r="P30" s="20">
        <v>123486.16</v>
      </c>
      <c r="Q30" s="21">
        <v>132658</v>
      </c>
      <c r="R30" s="150">
        <v>141938</v>
      </c>
      <c r="S30" s="151">
        <v>1.0699543186238296</v>
      </c>
      <c r="T30" s="650">
        <v>141938</v>
      </c>
      <c r="U30" s="651">
        <v>141938</v>
      </c>
    </row>
    <row r="31" spans="1:21" x14ac:dyDescent="0.25">
      <c r="A31" s="796"/>
      <c r="B31" s="189">
        <v>620</v>
      </c>
      <c r="C31" s="62" t="s">
        <v>130</v>
      </c>
      <c r="D31" s="202"/>
      <c r="E31" s="202">
        <v>20315</v>
      </c>
      <c r="F31" s="202">
        <v>21709</v>
      </c>
      <c r="G31" s="202">
        <v>27650</v>
      </c>
      <c r="H31" s="202">
        <v>30919</v>
      </c>
      <c r="I31" s="62">
        <v>32877</v>
      </c>
      <c r="J31" s="63">
        <v>34488</v>
      </c>
      <c r="K31" s="63">
        <v>34548</v>
      </c>
      <c r="L31" s="131">
        <v>37213.83</v>
      </c>
      <c r="M31" s="131">
        <v>35543.370000000003</v>
      </c>
      <c r="N31" s="27">
        <v>37856.519999999997</v>
      </c>
      <c r="O31" s="26">
        <v>40417.53</v>
      </c>
      <c r="P31" s="26">
        <v>45335.28</v>
      </c>
      <c r="Q31" s="27">
        <v>48406</v>
      </c>
      <c r="R31" s="153">
        <v>51651</v>
      </c>
      <c r="S31" s="156">
        <v>1.0670371441556832</v>
      </c>
      <c r="T31" s="652">
        <v>51651</v>
      </c>
      <c r="U31" s="653">
        <v>51651</v>
      </c>
    </row>
    <row r="32" spans="1:21" x14ac:dyDescent="0.25">
      <c r="A32" s="796"/>
      <c r="B32" s="189">
        <v>630</v>
      </c>
      <c r="C32" s="62" t="s">
        <v>131</v>
      </c>
      <c r="D32" s="202"/>
      <c r="E32" s="202">
        <v>16597</v>
      </c>
      <c r="F32" s="202">
        <v>21078</v>
      </c>
      <c r="G32" s="202">
        <v>23021</v>
      </c>
      <c r="H32" s="202">
        <f>22134+18</f>
        <v>22152</v>
      </c>
      <c r="I32" s="62">
        <v>19565</v>
      </c>
      <c r="J32" s="63">
        <v>22824</v>
      </c>
      <c r="K32" s="63">
        <v>25787</v>
      </c>
      <c r="L32" s="131">
        <v>22014.74</v>
      </c>
      <c r="M32" s="131">
        <v>22171.17</v>
      </c>
      <c r="N32" s="27">
        <v>20256.810000000001</v>
      </c>
      <c r="O32" s="26">
        <v>29552.34</v>
      </c>
      <c r="P32" s="26">
        <v>36953.129999999997</v>
      </c>
      <c r="Q32" s="27">
        <v>19000</v>
      </c>
      <c r="R32" s="153">
        <v>19000</v>
      </c>
      <c r="S32" s="156">
        <v>1</v>
      </c>
      <c r="T32" s="652">
        <v>19000</v>
      </c>
      <c r="U32" s="653">
        <v>19000</v>
      </c>
    </row>
    <row r="33" spans="1:26" ht="15.75" thickBot="1" x14ac:dyDescent="0.3">
      <c r="A33" s="797"/>
      <c r="B33" s="189">
        <v>650</v>
      </c>
      <c r="C33" s="62" t="s">
        <v>99</v>
      </c>
      <c r="D33" s="197"/>
      <c r="E33" s="197"/>
      <c r="F33" s="197"/>
      <c r="G33" s="197"/>
      <c r="H33" s="197"/>
      <c r="I33" s="186"/>
      <c r="J33" s="186"/>
      <c r="K33" s="203"/>
      <c r="L33" s="92">
        <v>161.80000000000001</v>
      </c>
      <c r="M33" s="92">
        <v>164.71</v>
      </c>
      <c r="N33" s="93">
        <v>382.35</v>
      </c>
      <c r="O33" s="92">
        <v>2710.03</v>
      </c>
      <c r="P33" s="92">
        <v>100</v>
      </c>
      <c r="Q33" s="93">
        <v>33500</v>
      </c>
      <c r="R33" s="187">
        <v>75039</v>
      </c>
      <c r="S33" s="161">
        <v>2.2399701492537312</v>
      </c>
      <c r="T33" s="663">
        <v>75039</v>
      </c>
      <c r="U33" s="658">
        <v>75039</v>
      </c>
      <c r="Z33" s="204"/>
    </row>
    <row r="34" spans="1:26" ht="15.75" thickBot="1" x14ac:dyDescent="0.3">
      <c r="A34" s="163" t="s">
        <v>151</v>
      </c>
      <c r="B34" s="762" t="s">
        <v>152</v>
      </c>
      <c r="C34" s="761"/>
      <c r="D34" s="192">
        <f>D35</f>
        <v>1328</v>
      </c>
      <c r="E34" s="192">
        <f>E35</f>
        <v>332</v>
      </c>
      <c r="F34" s="192">
        <f>F35</f>
        <v>797</v>
      </c>
      <c r="G34" s="192">
        <f>G35</f>
        <v>3524</v>
      </c>
      <c r="H34" s="192">
        <f>H35</f>
        <v>112</v>
      </c>
      <c r="I34" s="87">
        <f t="shared" ref="I34:R34" si="7">I35</f>
        <v>600</v>
      </c>
      <c r="J34" s="87">
        <f t="shared" si="7"/>
        <v>1028</v>
      </c>
      <c r="K34" s="87">
        <f t="shared" si="7"/>
        <v>1230</v>
      </c>
      <c r="L34" s="88">
        <f t="shared" si="7"/>
        <v>600</v>
      </c>
      <c r="M34" s="88">
        <f t="shared" si="7"/>
        <v>1048.67</v>
      </c>
      <c r="N34" s="165">
        <f t="shared" si="7"/>
        <v>1510.99</v>
      </c>
      <c r="O34" s="166">
        <f t="shared" si="7"/>
        <v>1870</v>
      </c>
      <c r="P34" s="166">
        <f t="shared" si="7"/>
        <v>2000</v>
      </c>
      <c r="Q34" s="165">
        <f t="shared" si="7"/>
        <v>2000</v>
      </c>
      <c r="R34" s="165">
        <v>2000</v>
      </c>
      <c r="S34" s="193">
        <v>1</v>
      </c>
      <c r="T34" s="659">
        <v>2000</v>
      </c>
      <c r="U34" s="617">
        <v>2000</v>
      </c>
    </row>
    <row r="35" spans="1:26" ht="15.75" thickBot="1" x14ac:dyDescent="0.3">
      <c r="A35" s="199"/>
      <c r="B35" s="205"/>
      <c r="C35" s="206" t="s">
        <v>153</v>
      </c>
      <c r="D35" s="207">
        <v>1328</v>
      </c>
      <c r="E35" s="207">
        <v>332</v>
      </c>
      <c r="F35" s="207">
        <v>797</v>
      </c>
      <c r="G35" s="207">
        <v>3524</v>
      </c>
      <c r="H35" s="207">
        <v>112</v>
      </c>
      <c r="I35" s="208">
        <v>600</v>
      </c>
      <c r="J35" s="208">
        <v>1028</v>
      </c>
      <c r="K35" s="107">
        <v>1230</v>
      </c>
      <c r="L35" s="209">
        <v>600</v>
      </c>
      <c r="M35" s="209">
        <v>1048.67</v>
      </c>
      <c r="N35" s="16">
        <v>1510.99</v>
      </c>
      <c r="O35" s="15">
        <v>1870</v>
      </c>
      <c r="P35" s="15">
        <v>2000</v>
      </c>
      <c r="Q35" s="16">
        <v>2000</v>
      </c>
      <c r="R35" s="210">
        <v>2000</v>
      </c>
      <c r="S35" s="167">
        <v>1</v>
      </c>
      <c r="T35" s="662">
        <v>2000</v>
      </c>
      <c r="U35" s="620">
        <v>2000</v>
      </c>
    </row>
    <row r="36" spans="1:26" ht="15.75" thickBot="1" x14ac:dyDescent="0.3">
      <c r="A36" s="211" t="s">
        <v>154</v>
      </c>
      <c r="B36" s="762" t="s">
        <v>155</v>
      </c>
      <c r="C36" s="761"/>
      <c r="D36" s="164">
        <v>64894</v>
      </c>
      <c r="E36" s="164">
        <v>59384</v>
      </c>
      <c r="F36" s="164">
        <v>62471</v>
      </c>
      <c r="G36" s="164">
        <v>47851</v>
      </c>
      <c r="H36" s="36">
        <f>SUM(H37:H39)</f>
        <v>43042</v>
      </c>
      <c r="I36" s="36">
        <f>SUM(I37:I39)</f>
        <v>42993</v>
      </c>
      <c r="J36" s="36">
        <f>SUM(J37:J39)</f>
        <v>45897</v>
      </c>
      <c r="K36" s="36">
        <f t="shared" ref="K36:Q36" si="8">SUM(K37:K40)</f>
        <v>45604</v>
      </c>
      <c r="L36" s="37">
        <f t="shared" si="8"/>
        <v>70768.37</v>
      </c>
      <c r="M36" s="37">
        <f t="shared" si="8"/>
        <v>57765.42</v>
      </c>
      <c r="N36" s="212">
        <f t="shared" si="8"/>
        <v>67218.58</v>
      </c>
      <c r="O36" s="213">
        <f t="shared" si="8"/>
        <v>62580.25</v>
      </c>
      <c r="P36" s="213">
        <f>SUM(P37:P40)</f>
        <v>56923.06</v>
      </c>
      <c r="Q36" s="212">
        <f t="shared" si="8"/>
        <v>70030</v>
      </c>
      <c r="R36" s="212">
        <v>70316</v>
      </c>
      <c r="S36" s="193">
        <v>1.004083964015422</v>
      </c>
      <c r="T36" s="659">
        <v>70316</v>
      </c>
      <c r="U36" s="617">
        <v>70316</v>
      </c>
    </row>
    <row r="37" spans="1:26" x14ac:dyDescent="0.25">
      <c r="A37" s="795"/>
      <c r="B37" s="188">
        <v>610</v>
      </c>
      <c r="C37" s="60" t="s">
        <v>129</v>
      </c>
      <c r="D37" s="201"/>
      <c r="E37" s="201"/>
      <c r="F37" s="201"/>
      <c r="G37" s="201"/>
      <c r="H37" s="201">
        <v>19662</v>
      </c>
      <c r="I37" s="60">
        <v>20165</v>
      </c>
      <c r="J37" s="61">
        <v>21683</v>
      </c>
      <c r="K37" s="61">
        <v>23558</v>
      </c>
      <c r="L37" s="20">
        <v>34957.480000000003</v>
      </c>
      <c r="M37" s="20">
        <v>28518.63</v>
      </c>
      <c r="N37" s="21">
        <v>34041.99</v>
      </c>
      <c r="O37" s="20">
        <v>33212</v>
      </c>
      <c r="P37" s="20">
        <v>33912.11</v>
      </c>
      <c r="Q37" s="21">
        <v>36914</v>
      </c>
      <c r="R37" s="150">
        <v>42314</v>
      </c>
      <c r="S37" s="151">
        <v>1.1462859619656498</v>
      </c>
      <c r="T37" s="650">
        <v>42314</v>
      </c>
      <c r="U37" s="651">
        <v>42314</v>
      </c>
    </row>
    <row r="38" spans="1:26" x14ac:dyDescent="0.25">
      <c r="A38" s="796"/>
      <c r="B38" s="189">
        <v>620</v>
      </c>
      <c r="C38" s="62" t="s">
        <v>130</v>
      </c>
      <c r="D38" s="202"/>
      <c r="E38" s="202"/>
      <c r="F38" s="202"/>
      <c r="G38" s="202"/>
      <c r="H38" s="202">
        <v>6810</v>
      </c>
      <c r="I38" s="62">
        <v>7285</v>
      </c>
      <c r="J38" s="63">
        <v>7713</v>
      </c>
      <c r="K38" s="63">
        <v>8188</v>
      </c>
      <c r="L38" s="26">
        <v>13167.56</v>
      </c>
      <c r="M38" s="26">
        <v>9242.2099999999991</v>
      </c>
      <c r="N38" s="27">
        <v>11670.69</v>
      </c>
      <c r="O38" s="26">
        <v>11626.24</v>
      </c>
      <c r="P38" s="26">
        <v>11789.54</v>
      </c>
      <c r="Q38" s="27">
        <v>13116</v>
      </c>
      <c r="R38" s="153">
        <v>15004</v>
      </c>
      <c r="S38" s="156">
        <v>1.1439463250991155</v>
      </c>
      <c r="T38" s="652">
        <v>15004</v>
      </c>
      <c r="U38" s="653">
        <v>15004</v>
      </c>
      <c r="V38" s="204"/>
    </row>
    <row r="39" spans="1:26" x14ac:dyDescent="0.25">
      <c r="A39" s="796"/>
      <c r="B39" s="189">
        <v>630</v>
      </c>
      <c r="C39" s="62" t="s">
        <v>131</v>
      </c>
      <c r="D39" s="202"/>
      <c r="E39" s="202"/>
      <c r="F39" s="202"/>
      <c r="G39" s="202"/>
      <c r="H39" s="202">
        <v>16570</v>
      </c>
      <c r="I39" s="62">
        <v>15543</v>
      </c>
      <c r="J39" s="63">
        <v>16501</v>
      </c>
      <c r="K39" s="63">
        <v>13727</v>
      </c>
      <c r="L39" s="26">
        <v>20379.169999999998</v>
      </c>
      <c r="M39" s="26">
        <v>19888.419999999998</v>
      </c>
      <c r="N39" s="27">
        <v>21248.55</v>
      </c>
      <c r="O39" s="26">
        <v>16832.53</v>
      </c>
      <c r="P39" s="26">
        <v>11149.41</v>
      </c>
      <c r="Q39" s="27">
        <v>20000</v>
      </c>
      <c r="R39" s="153">
        <v>12998</v>
      </c>
      <c r="S39" s="156">
        <v>0.64990000000000003</v>
      </c>
      <c r="T39" s="652">
        <v>12998</v>
      </c>
      <c r="U39" s="653">
        <v>12998</v>
      </c>
    </row>
    <row r="40" spans="1:26" ht="15.75" thickBot="1" x14ac:dyDescent="0.3">
      <c r="A40" s="797"/>
      <c r="B40" s="189">
        <v>640</v>
      </c>
      <c r="C40" s="157"/>
      <c r="D40" s="185"/>
      <c r="E40" s="185"/>
      <c r="F40" s="185"/>
      <c r="G40" s="185"/>
      <c r="H40" s="185"/>
      <c r="I40" s="186"/>
      <c r="J40" s="63"/>
      <c r="K40" s="63">
        <v>131</v>
      </c>
      <c r="L40" s="92">
        <v>2264.16</v>
      </c>
      <c r="M40" s="92">
        <v>116.16</v>
      </c>
      <c r="N40" s="93">
        <v>257.35000000000002</v>
      </c>
      <c r="O40" s="92">
        <v>909.48</v>
      </c>
      <c r="P40" s="92">
        <v>72</v>
      </c>
      <c r="Q40" s="93"/>
      <c r="R40" s="187"/>
      <c r="S40" s="161">
        <v>0</v>
      </c>
      <c r="T40" s="663"/>
      <c r="U40" s="658"/>
    </row>
    <row r="41" spans="1:26" ht="15.75" thickBot="1" x14ac:dyDescent="0.3">
      <c r="A41" s="163" t="s">
        <v>156</v>
      </c>
      <c r="B41" s="762" t="s">
        <v>157</v>
      </c>
      <c r="C41" s="761"/>
      <c r="D41" s="192">
        <f>D42</f>
        <v>0</v>
      </c>
      <c r="E41" s="192">
        <f>E42</f>
        <v>0</v>
      </c>
      <c r="F41" s="192">
        <f>F42</f>
        <v>0</v>
      </c>
      <c r="G41" s="192">
        <f>G42</f>
        <v>66</v>
      </c>
      <c r="H41" s="192">
        <f>H42</f>
        <v>175</v>
      </c>
      <c r="I41" s="87">
        <f t="shared" ref="I41:R41" si="9">I42</f>
        <v>269</v>
      </c>
      <c r="J41" s="87">
        <f t="shared" si="9"/>
        <v>182</v>
      </c>
      <c r="K41" s="87">
        <f t="shared" si="9"/>
        <v>104</v>
      </c>
      <c r="L41" s="88">
        <f t="shared" si="9"/>
        <v>169.4</v>
      </c>
      <c r="M41" s="88">
        <f t="shared" si="9"/>
        <v>87.6</v>
      </c>
      <c r="N41" s="165">
        <f t="shared" si="9"/>
        <v>40.1</v>
      </c>
      <c r="O41" s="165">
        <f t="shared" si="9"/>
        <v>0</v>
      </c>
      <c r="P41" s="165">
        <f t="shared" si="9"/>
        <v>69.25</v>
      </c>
      <c r="Q41" s="165">
        <f t="shared" si="9"/>
        <v>200</v>
      </c>
      <c r="R41" s="165">
        <v>200</v>
      </c>
      <c r="S41" s="167">
        <v>1</v>
      </c>
      <c r="T41" s="659">
        <v>200</v>
      </c>
      <c r="U41" s="617">
        <v>200</v>
      </c>
    </row>
    <row r="42" spans="1:26" ht="15.75" thickBot="1" x14ac:dyDescent="0.3">
      <c r="A42" s="214"/>
      <c r="B42" s="215">
        <v>640</v>
      </c>
      <c r="C42" s="186" t="s">
        <v>158</v>
      </c>
      <c r="D42" s="197"/>
      <c r="E42" s="197"/>
      <c r="F42" s="197"/>
      <c r="G42" s="197">
        <v>66</v>
      </c>
      <c r="H42" s="197">
        <v>175</v>
      </c>
      <c r="I42" s="186">
        <v>269</v>
      </c>
      <c r="J42" s="186">
        <v>182</v>
      </c>
      <c r="K42" s="186">
        <v>104</v>
      </c>
      <c r="L42" s="216">
        <v>169.4</v>
      </c>
      <c r="M42" s="209">
        <v>87.6</v>
      </c>
      <c r="N42" s="16">
        <v>40.1</v>
      </c>
      <c r="O42" s="16"/>
      <c r="P42" s="16">
        <v>69.25</v>
      </c>
      <c r="Q42" s="16">
        <v>200</v>
      </c>
      <c r="R42" s="210">
        <v>200</v>
      </c>
      <c r="S42" s="167">
        <v>1</v>
      </c>
      <c r="T42" s="662">
        <v>200</v>
      </c>
      <c r="U42" s="620">
        <v>200</v>
      </c>
    </row>
    <row r="43" spans="1:26" ht="15.75" thickBot="1" x14ac:dyDescent="0.3">
      <c r="A43" s="163" t="s">
        <v>159</v>
      </c>
      <c r="B43" s="762" t="s">
        <v>160</v>
      </c>
      <c r="C43" s="761"/>
      <c r="D43" s="164">
        <v>29310</v>
      </c>
      <c r="E43" s="164">
        <v>30173</v>
      </c>
      <c r="F43" s="164">
        <v>33061</v>
      </c>
      <c r="G43" s="164">
        <v>31215</v>
      </c>
      <c r="H43" s="36">
        <f t="shared" ref="H43:M43" si="10">SUM(H44:H46)</f>
        <v>30188</v>
      </c>
      <c r="I43" s="36">
        <f t="shared" si="10"/>
        <v>30251</v>
      </c>
      <c r="J43" s="36">
        <f t="shared" si="10"/>
        <v>29902</v>
      </c>
      <c r="K43" s="36">
        <f t="shared" si="10"/>
        <v>27922</v>
      </c>
      <c r="L43" s="36">
        <f t="shared" si="10"/>
        <v>26736.059999999998</v>
      </c>
      <c r="M43" s="37">
        <f t="shared" si="10"/>
        <v>31580.040000000005</v>
      </c>
      <c r="N43" s="212">
        <f>SUM(N44:N46)</f>
        <v>36470.850000000006</v>
      </c>
      <c r="O43" s="213">
        <f>SUM(O44:O49)</f>
        <v>54203.55</v>
      </c>
      <c r="P43" s="213">
        <f>SUM(P44:P49)</f>
        <v>87006.54</v>
      </c>
      <c r="Q43" s="212">
        <f>SUM(Q44:Q49)</f>
        <v>78525</v>
      </c>
      <c r="R43" s="212">
        <v>52702</v>
      </c>
      <c r="S43" s="193">
        <v>0.67114931550461632</v>
      </c>
      <c r="T43" s="659">
        <v>50987</v>
      </c>
      <c r="U43" s="617">
        <v>50987</v>
      </c>
    </row>
    <row r="44" spans="1:26" x14ac:dyDescent="0.25">
      <c r="A44" s="795"/>
      <c r="B44" s="149">
        <v>610</v>
      </c>
      <c r="C44" s="60" t="s">
        <v>129</v>
      </c>
      <c r="D44" s="201"/>
      <c r="E44" s="201">
        <v>17128</v>
      </c>
      <c r="F44" s="201">
        <v>19186</v>
      </c>
      <c r="G44" s="201">
        <v>18647</v>
      </c>
      <c r="H44" s="201">
        <v>19330</v>
      </c>
      <c r="I44" s="60">
        <v>19430</v>
      </c>
      <c r="J44" s="61">
        <v>19249</v>
      </c>
      <c r="K44" s="61">
        <v>18860</v>
      </c>
      <c r="L44" s="130">
        <v>17749.95</v>
      </c>
      <c r="M44" s="130">
        <v>21482.58</v>
      </c>
      <c r="N44" s="21">
        <v>23137.49</v>
      </c>
      <c r="O44" s="20">
        <v>24187.48</v>
      </c>
      <c r="P44" s="20">
        <v>31091.66</v>
      </c>
      <c r="Q44" s="21">
        <v>33013</v>
      </c>
      <c r="R44" s="150">
        <v>35574</v>
      </c>
      <c r="S44" s="217">
        <v>1.0775755005603853</v>
      </c>
      <c r="T44" s="664">
        <v>35574</v>
      </c>
      <c r="U44" s="665">
        <v>35574</v>
      </c>
    </row>
    <row r="45" spans="1:26" x14ac:dyDescent="0.25">
      <c r="A45" s="796"/>
      <c r="B45" s="152">
        <v>620</v>
      </c>
      <c r="C45" s="62" t="s">
        <v>130</v>
      </c>
      <c r="D45" s="202"/>
      <c r="E45" s="202">
        <v>6174</v>
      </c>
      <c r="F45" s="202">
        <v>6440</v>
      </c>
      <c r="G45" s="202">
        <v>6250</v>
      </c>
      <c r="H45" s="202">
        <v>6780</v>
      </c>
      <c r="I45" s="62">
        <v>6793</v>
      </c>
      <c r="J45" s="63">
        <v>6741</v>
      </c>
      <c r="K45" s="63">
        <v>6528</v>
      </c>
      <c r="L45" s="131">
        <v>6227.83</v>
      </c>
      <c r="M45" s="131">
        <v>7544.26</v>
      </c>
      <c r="N45" s="27">
        <v>8118.17</v>
      </c>
      <c r="O45" s="26">
        <v>8499.7000000000007</v>
      </c>
      <c r="P45" s="26">
        <v>10918.71</v>
      </c>
      <c r="Q45" s="27">
        <v>11717</v>
      </c>
      <c r="R45" s="153">
        <v>12613</v>
      </c>
      <c r="S45" s="156">
        <v>1.0764700861995391</v>
      </c>
      <c r="T45" s="652">
        <v>12613</v>
      </c>
      <c r="U45" s="653">
        <v>12613</v>
      </c>
    </row>
    <row r="46" spans="1:26" x14ac:dyDescent="0.25">
      <c r="A46" s="796"/>
      <c r="B46" s="152">
        <v>630</v>
      </c>
      <c r="C46" s="62" t="s">
        <v>131</v>
      </c>
      <c r="D46" s="202"/>
      <c r="E46" s="202">
        <v>6871</v>
      </c>
      <c r="F46" s="202">
        <v>7435</v>
      </c>
      <c r="G46" s="202">
        <v>6318</v>
      </c>
      <c r="H46" s="202">
        <v>4078</v>
      </c>
      <c r="I46" s="62">
        <v>4028</v>
      </c>
      <c r="J46" s="63">
        <v>3912</v>
      </c>
      <c r="K46" s="63">
        <f>27588-25054</f>
        <v>2534</v>
      </c>
      <c r="L46" s="131">
        <v>2758.28</v>
      </c>
      <c r="M46" s="131">
        <v>2553.1999999999998</v>
      </c>
      <c r="N46" s="27">
        <v>5215.1899999999996</v>
      </c>
      <c r="O46" s="26">
        <v>7214.1500000000005</v>
      </c>
      <c r="P46" s="26">
        <v>3273.6100000000006</v>
      </c>
      <c r="Q46" s="27">
        <v>2800</v>
      </c>
      <c r="R46" s="153">
        <v>2800</v>
      </c>
      <c r="S46" s="156">
        <v>1</v>
      </c>
      <c r="T46" s="652">
        <v>2800</v>
      </c>
      <c r="U46" s="653">
        <v>2800</v>
      </c>
    </row>
    <row r="47" spans="1:26" x14ac:dyDescent="0.25">
      <c r="A47" s="796"/>
      <c r="B47" s="218">
        <v>630</v>
      </c>
      <c r="C47" s="65" t="s">
        <v>161</v>
      </c>
      <c r="D47" s="219"/>
      <c r="E47" s="219"/>
      <c r="F47" s="219"/>
      <c r="G47" s="219"/>
      <c r="H47" s="219"/>
      <c r="I47" s="65"/>
      <c r="J47" s="96"/>
      <c r="K47" s="96"/>
      <c r="L47" s="220"/>
      <c r="M47" s="220"/>
      <c r="N47" s="52"/>
      <c r="O47" s="51"/>
      <c r="P47" s="51"/>
      <c r="Q47" s="52"/>
      <c r="R47" s="221">
        <v>0</v>
      </c>
      <c r="S47" s="161"/>
      <c r="T47" s="663"/>
      <c r="U47" s="658"/>
    </row>
    <row r="48" spans="1:26" x14ac:dyDescent="0.25">
      <c r="A48" s="796"/>
      <c r="B48" s="218">
        <v>630</v>
      </c>
      <c r="C48" s="65" t="s">
        <v>162</v>
      </c>
      <c r="D48" s="219"/>
      <c r="E48" s="219"/>
      <c r="F48" s="219"/>
      <c r="G48" s="219"/>
      <c r="H48" s="219"/>
      <c r="I48" s="65"/>
      <c r="J48" s="96"/>
      <c r="K48" s="96"/>
      <c r="L48" s="220"/>
      <c r="M48" s="220"/>
      <c r="N48" s="52"/>
      <c r="O48" s="51"/>
      <c r="P48" s="51"/>
      <c r="Q48" s="52"/>
      <c r="R48" s="221">
        <v>1715</v>
      </c>
      <c r="S48" s="161"/>
      <c r="T48" s="663"/>
      <c r="U48" s="658"/>
    </row>
    <row r="49" spans="1:27" ht="15.75" thickBot="1" x14ac:dyDescent="0.3">
      <c r="A49" s="797"/>
      <c r="B49" s="222">
        <v>630</v>
      </c>
      <c r="C49" s="64" t="s">
        <v>116</v>
      </c>
      <c r="D49" s="223"/>
      <c r="E49" s="223"/>
      <c r="F49" s="223"/>
      <c r="G49" s="223"/>
      <c r="H49" s="223"/>
      <c r="I49" s="64"/>
      <c r="J49" s="79"/>
      <c r="K49" s="79"/>
      <c r="L49" s="224"/>
      <c r="M49" s="224"/>
      <c r="N49" s="33"/>
      <c r="O49" s="32">
        <v>14302.22</v>
      </c>
      <c r="P49" s="32">
        <v>41722.559999999998</v>
      </c>
      <c r="Q49" s="33">
        <v>30995</v>
      </c>
      <c r="R49" s="225"/>
      <c r="S49" s="226">
        <v>0</v>
      </c>
      <c r="T49" s="666"/>
      <c r="U49" s="667"/>
    </row>
    <row r="50" spans="1:27" ht="15.75" thickBot="1" x14ac:dyDescent="0.3">
      <c r="A50" s="163" t="s">
        <v>163</v>
      </c>
      <c r="B50" s="762" t="s">
        <v>164</v>
      </c>
      <c r="C50" s="761"/>
      <c r="D50" s="192">
        <v>13278</v>
      </c>
      <c r="E50" s="192">
        <v>366029</v>
      </c>
      <c r="F50" s="192">
        <v>277733</v>
      </c>
      <c r="G50" s="192">
        <v>398013</v>
      </c>
      <c r="H50" s="192">
        <v>368170</v>
      </c>
      <c r="I50" s="87">
        <f t="shared" ref="I50:R50" si="11">SUM(I51:I55)</f>
        <v>294633</v>
      </c>
      <c r="J50" s="87">
        <f t="shared" si="11"/>
        <v>216960</v>
      </c>
      <c r="K50" s="87">
        <f t="shared" si="11"/>
        <v>236599</v>
      </c>
      <c r="L50" s="88">
        <f t="shared" si="11"/>
        <v>216987.18</v>
      </c>
      <c r="M50" s="88">
        <f t="shared" si="11"/>
        <v>226497.02000000002</v>
      </c>
      <c r="N50" s="165">
        <f>SUM(N51:N55)</f>
        <v>249510.29</v>
      </c>
      <c r="O50" s="166">
        <f>SUM(O51:O55)</f>
        <v>263692.45</v>
      </c>
      <c r="P50" s="166">
        <f>SUM(P51:P55)</f>
        <v>362393.4</v>
      </c>
      <c r="Q50" s="165">
        <f>SUM(Q51:Q55)</f>
        <v>459287</v>
      </c>
      <c r="R50" s="165">
        <v>451757</v>
      </c>
      <c r="S50" s="193">
        <v>0.98360502256758842</v>
      </c>
      <c r="T50" s="659">
        <v>462460</v>
      </c>
      <c r="U50" s="617">
        <v>473485</v>
      </c>
      <c r="X50" s="204"/>
      <c r="Z50" s="204"/>
    </row>
    <row r="51" spans="1:27" x14ac:dyDescent="0.25">
      <c r="A51" s="812"/>
      <c r="B51" s="227">
        <v>640</v>
      </c>
      <c r="C51" s="228" t="s">
        <v>165</v>
      </c>
      <c r="D51" s="229"/>
      <c r="E51" s="229"/>
      <c r="F51" s="229"/>
      <c r="G51" s="229"/>
      <c r="H51" s="229">
        <v>307476</v>
      </c>
      <c r="I51" s="230">
        <v>234550</v>
      </c>
      <c r="J51" s="61">
        <v>150070</v>
      </c>
      <c r="K51" s="61">
        <v>167336</v>
      </c>
      <c r="L51" s="20">
        <v>148104</v>
      </c>
      <c r="M51" s="171">
        <v>157211</v>
      </c>
      <c r="N51" s="19">
        <v>183945</v>
      </c>
      <c r="O51" s="171">
        <v>167281</v>
      </c>
      <c r="P51" s="171">
        <v>263000</v>
      </c>
      <c r="Q51" s="19">
        <v>362287</v>
      </c>
      <c r="R51" s="19">
        <v>356757</v>
      </c>
      <c r="S51" s="151">
        <v>0.98473585858725265</v>
      </c>
      <c r="T51" s="650">
        <v>367460</v>
      </c>
      <c r="U51" s="651">
        <v>378485</v>
      </c>
      <c r="W51" s="204"/>
      <c r="X51" s="204"/>
      <c r="Y51" s="204"/>
      <c r="Z51" s="204"/>
      <c r="AA51" s="204"/>
    </row>
    <row r="52" spans="1:27" hidden="1" x14ac:dyDescent="0.25">
      <c r="A52" s="813"/>
      <c r="B52" s="227">
        <v>640</v>
      </c>
      <c r="C52" s="231" t="s">
        <v>166</v>
      </c>
      <c r="D52" s="232"/>
      <c r="E52" s="232"/>
      <c r="F52" s="232"/>
      <c r="G52" s="232"/>
      <c r="H52" s="232"/>
      <c r="I52" s="233"/>
      <c r="J52" s="76"/>
      <c r="K52" s="76"/>
      <c r="L52" s="48"/>
      <c r="M52" s="234"/>
      <c r="N52" s="47"/>
      <c r="O52" s="234">
        <v>28183</v>
      </c>
      <c r="P52" s="234"/>
      <c r="Q52" s="47"/>
      <c r="R52" s="235">
        <v>0</v>
      </c>
      <c r="S52" s="151">
        <v>0</v>
      </c>
      <c r="T52" s="650"/>
      <c r="U52" s="651"/>
    </row>
    <row r="53" spans="1:27" x14ac:dyDescent="0.25">
      <c r="A53" s="813"/>
      <c r="B53" s="227">
        <v>630</v>
      </c>
      <c r="C53" s="231" t="s">
        <v>167</v>
      </c>
      <c r="D53" s="232"/>
      <c r="E53" s="232"/>
      <c r="F53" s="232"/>
      <c r="G53" s="232"/>
      <c r="H53" s="232">
        <v>9596</v>
      </c>
      <c r="I53" s="233">
        <v>3094</v>
      </c>
      <c r="J53" s="63">
        <v>2060</v>
      </c>
      <c r="K53" s="63">
        <v>1011</v>
      </c>
      <c r="L53" s="48">
        <v>1770</v>
      </c>
      <c r="M53" s="234">
        <v>1790</v>
      </c>
      <c r="N53" s="47">
        <v>1340</v>
      </c>
      <c r="O53" s="234">
        <v>3846.12</v>
      </c>
      <c r="P53" s="234">
        <v>1800</v>
      </c>
      <c r="Q53" s="47">
        <v>2000</v>
      </c>
      <c r="R53" s="47">
        <v>0</v>
      </c>
      <c r="S53" s="156">
        <v>0</v>
      </c>
      <c r="T53" s="652">
        <v>0</v>
      </c>
      <c r="U53" s="653">
        <v>0</v>
      </c>
    </row>
    <row r="54" spans="1:27" x14ac:dyDescent="0.25">
      <c r="A54" s="813"/>
      <c r="B54" s="227">
        <v>630</v>
      </c>
      <c r="C54" s="231" t="s">
        <v>168</v>
      </c>
      <c r="D54" s="232"/>
      <c r="E54" s="232"/>
      <c r="F54" s="232"/>
      <c r="G54" s="232"/>
      <c r="H54" s="232"/>
      <c r="I54" s="233"/>
      <c r="J54" s="63"/>
      <c r="K54" s="63"/>
      <c r="L54" s="48"/>
      <c r="M54" s="234"/>
      <c r="N54" s="47">
        <v>0</v>
      </c>
      <c r="O54" s="234"/>
      <c r="P54" s="234">
        <v>27926.51</v>
      </c>
      <c r="Q54" s="47">
        <v>30000</v>
      </c>
      <c r="R54" s="235">
        <v>30000</v>
      </c>
      <c r="S54" s="156">
        <v>1</v>
      </c>
      <c r="T54" s="652">
        <v>30000</v>
      </c>
      <c r="U54" s="653">
        <v>30000</v>
      </c>
      <c r="Z54" s="204"/>
      <c r="AA54" s="204"/>
    </row>
    <row r="55" spans="1:27" ht="15.75" thickBot="1" x14ac:dyDescent="0.3">
      <c r="A55" s="814"/>
      <c r="B55" s="190">
        <v>640</v>
      </c>
      <c r="C55" s="236" t="s">
        <v>169</v>
      </c>
      <c r="D55" s="237"/>
      <c r="E55" s="237"/>
      <c r="F55" s="237"/>
      <c r="G55" s="237"/>
      <c r="H55" s="237">
        <v>49953</v>
      </c>
      <c r="I55" s="238">
        <v>56989</v>
      </c>
      <c r="J55" s="79">
        <v>64830</v>
      </c>
      <c r="K55" s="79">
        <v>68252</v>
      </c>
      <c r="L55" s="99">
        <v>67113.179999999993</v>
      </c>
      <c r="M55" s="108">
        <v>67496.02</v>
      </c>
      <c r="N55" s="109">
        <v>64225.29</v>
      </c>
      <c r="O55" s="108">
        <v>64382.33</v>
      </c>
      <c r="P55" s="108">
        <v>69666.89</v>
      </c>
      <c r="Q55" s="109">
        <v>65000</v>
      </c>
      <c r="R55" s="239">
        <v>65000</v>
      </c>
      <c r="S55" s="161">
        <v>1</v>
      </c>
      <c r="T55" s="663">
        <v>65000</v>
      </c>
      <c r="U55" s="658">
        <v>65000</v>
      </c>
    </row>
    <row r="56" spans="1:27" ht="15.75" thickBot="1" x14ac:dyDescent="0.3">
      <c r="A56" s="240" t="s">
        <v>170</v>
      </c>
      <c r="B56" s="815" t="s">
        <v>171</v>
      </c>
      <c r="C56" s="773"/>
      <c r="D56" s="241">
        <v>33426</v>
      </c>
      <c r="E56" s="241">
        <v>39800</v>
      </c>
      <c r="F56" s="241">
        <v>42953</v>
      </c>
      <c r="G56" s="241">
        <v>66506</v>
      </c>
      <c r="H56" s="241">
        <v>76065</v>
      </c>
      <c r="I56" s="103">
        <f>SUM(I61:I68)+I57</f>
        <v>59613</v>
      </c>
      <c r="J56" s="103">
        <f>SUM(J61:J68)+J57</f>
        <v>58168</v>
      </c>
      <c r="K56" s="103">
        <f>SUM(K61:K68)+K57</f>
        <v>57293</v>
      </c>
      <c r="L56" s="103">
        <f t="shared" ref="L56:R56" si="12">SUM(L61:L69)+L57</f>
        <v>53359.31</v>
      </c>
      <c r="M56" s="104">
        <f t="shared" si="12"/>
        <v>49261.270000000004</v>
      </c>
      <c r="N56" s="242">
        <f t="shared" si="12"/>
        <v>69492.78</v>
      </c>
      <c r="O56" s="243">
        <f t="shared" si="12"/>
        <v>86003.890000000014</v>
      </c>
      <c r="P56" s="243">
        <f t="shared" si="12"/>
        <v>106730.37000000001</v>
      </c>
      <c r="Q56" s="242">
        <f t="shared" si="12"/>
        <v>101804</v>
      </c>
      <c r="R56" s="242">
        <v>107933</v>
      </c>
      <c r="S56" s="193">
        <v>1.0602039212604613</v>
      </c>
      <c r="T56" s="659">
        <v>97933</v>
      </c>
      <c r="U56" s="617">
        <v>97933</v>
      </c>
    </row>
    <row r="57" spans="1:27" ht="15.75" thickBot="1" x14ac:dyDescent="0.3">
      <c r="A57" s="809"/>
      <c r="B57" s="816" t="s">
        <v>172</v>
      </c>
      <c r="C57" s="817"/>
      <c r="D57" s="244">
        <v>0</v>
      </c>
      <c r="E57" s="244">
        <v>13477</v>
      </c>
      <c r="F57" s="244">
        <v>15800</v>
      </c>
      <c r="G57" s="244">
        <v>26596</v>
      </c>
      <c r="H57" s="244">
        <v>25323</v>
      </c>
      <c r="I57" s="13">
        <f t="shared" ref="I57:R57" si="13">SUM(I58:I60)</f>
        <v>25388</v>
      </c>
      <c r="J57" s="13">
        <f t="shared" si="13"/>
        <v>23577</v>
      </c>
      <c r="K57" s="13">
        <f t="shared" si="13"/>
        <v>25508</v>
      </c>
      <c r="L57" s="13">
        <f>SUM(L58:L60)</f>
        <v>26966.809999999998</v>
      </c>
      <c r="M57" s="245">
        <f t="shared" si="13"/>
        <v>26493.65</v>
      </c>
      <c r="N57" s="210">
        <f>SUM(N58:N60)</f>
        <v>11116.460000000001</v>
      </c>
      <c r="O57" s="246">
        <f>SUM(O58:O60)</f>
        <v>18582.04</v>
      </c>
      <c r="P57" s="246">
        <f>SUM(P58:P60)</f>
        <v>14813.99</v>
      </c>
      <c r="Q57" s="210">
        <f>SUM(Q58:Q60)</f>
        <v>26304</v>
      </c>
      <c r="R57" s="210">
        <v>27480</v>
      </c>
      <c r="S57" s="193">
        <v>1.0447080291970803</v>
      </c>
      <c r="T57" s="662">
        <v>27480</v>
      </c>
      <c r="U57" s="620">
        <v>27480</v>
      </c>
    </row>
    <row r="58" spans="1:27" x14ac:dyDescent="0.25">
      <c r="A58" s="810"/>
      <c r="B58" s="247">
        <v>610</v>
      </c>
      <c r="C58" s="46" t="s">
        <v>129</v>
      </c>
      <c r="D58" s="116"/>
      <c r="E58" s="116"/>
      <c r="F58" s="116"/>
      <c r="G58" s="116"/>
      <c r="H58" s="116">
        <v>16865</v>
      </c>
      <c r="I58" s="46">
        <v>17260</v>
      </c>
      <c r="J58" s="61">
        <v>15432</v>
      </c>
      <c r="K58" s="61">
        <v>15427</v>
      </c>
      <c r="L58" s="49">
        <v>14767.98</v>
      </c>
      <c r="M58" s="234">
        <v>15800.44</v>
      </c>
      <c r="N58" s="47">
        <v>9158.7800000000007</v>
      </c>
      <c r="O58" s="234">
        <v>10007.84</v>
      </c>
      <c r="P58" s="234">
        <v>10778.65</v>
      </c>
      <c r="Q58" s="47">
        <v>13720</v>
      </c>
      <c r="R58" s="248">
        <v>14592</v>
      </c>
      <c r="S58" s="151">
        <v>1.0635568513119533</v>
      </c>
      <c r="T58" s="650">
        <v>14592</v>
      </c>
      <c r="U58" s="651">
        <v>14592</v>
      </c>
      <c r="X58" s="204"/>
    </row>
    <row r="59" spans="1:27" x14ac:dyDescent="0.25">
      <c r="A59" s="810"/>
      <c r="B59" s="247">
        <v>620</v>
      </c>
      <c r="C59" s="46" t="s">
        <v>130</v>
      </c>
      <c r="D59" s="116"/>
      <c r="E59" s="116"/>
      <c r="F59" s="116"/>
      <c r="G59" s="116"/>
      <c r="H59" s="116">
        <v>6017</v>
      </c>
      <c r="I59" s="46">
        <v>6225</v>
      </c>
      <c r="J59" s="63">
        <v>5547</v>
      </c>
      <c r="K59" s="63">
        <v>5746</v>
      </c>
      <c r="L59" s="49">
        <v>5836.68</v>
      </c>
      <c r="M59" s="234">
        <v>5402.44</v>
      </c>
      <c r="N59" s="47">
        <v>1957.68</v>
      </c>
      <c r="O59" s="234">
        <v>3763.52</v>
      </c>
      <c r="P59" s="234">
        <v>4035.34</v>
      </c>
      <c r="Q59" s="47">
        <v>5084</v>
      </c>
      <c r="R59" s="248">
        <v>5388</v>
      </c>
      <c r="S59" s="156">
        <v>1.0597954366640441</v>
      </c>
      <c r="T59" s="652">
        <v>5388</v>
      </c>
      <c r="U59" s="653">
        <v>5388</v>
      </c>
    </row>
    <row r="60" spans="1:27" ht="15.75" thickBot="1" x14ac:dyDescent="0.3">
      <c r="A60" s="810"/>
      <c r="B60" s="249">
        <v>630</v>
      </c>
      <c r="C60" s="106" t="s">
        <v>131</v>
      </c>
      <c r="D60" s="250"/>
      <c r="E60" s="250"/>
      <c r="F60" s="250"/>
      <c r="G60" s="250"/>
      <c r="H60" s="250">
        <v>2441</v>
      </c>
      <c r="I60" s="106">
        <v>1903</v>
      </c>
      <c r="J60" s="79">
        <v>2598</v>
      </c>
      <c r="K60" s="79">
        <v>4335</v>
      </c>
      <c r="L60" s="100">
        <v>6362.15</v>
      </c>
      <c r="M60" s="108">
        <v>5290.77</v>
      </c>
      <c r="N60" s="109"/>
      <c r="O60" s="108">
        <v>4810.68</v>
      </c>
      <c r="P60" s="108"/>
      <c r="Q60" s="109">
        <v>7500</v>
      </c>
      <c r="R60" s="225">
        <v>7500</v>
      </c>
      <c r="S60" s="251">
        <v>1</v>
      </c>
      <c r="T60" s="668">
        <v>7500</v>
      </c>
      <c r="U60" s="669">
        <v>7500</v>
      </c>
    </row>
    <row r="61" spans="1:27" x14ac:dyDescent="0.25">
      <c r="A61" s="810"/>
      <c r="B61" s="247">
        <v>600</v>
      </c>
      <c r="C61" s="46" t="s">
        <v>173</v>
      </c>
      <c r="D61" s="116"/>
      <c r="E61" s="116"/>
      <c r="F61" s="116"/>
      <c r="G61" s="116"/>
      <c r="H61" s="116"/>
      <c r="I61" s="46">
        <v>9190</v>
      </c>
      <c r="J61" s="116">
        <v>6912</v>
      </c>
      <c r="K61" s="116">
        <v>9446</v>
      </c>
      <c r="L61" s="116">
        <v>4778.18</v>
      </c>
      <c r="M61" s="170">
        <v>8683.39</v>
      </c>
      <c r="N61" s="47">
        <v>34595.32</v>
      </c>
      <c r="O61" s="234">
        <v>40079.160000000003</v>
      </c>
      <c r="P61" s="234">
        <v>63662.49</v>
      </c>
      <c r="Q61" s="47">
        <v>25000</v>
      </c>
      <c r="R61" s="248">
        <v>25500</v>
      </c>
      <c r="S61" s="151">
        <v>1.02</v>
      </c>
      <c r="T61" s="650">
        <v>25500</v>
      </c>
      <c r="U61" s="651">
        <v>25500</v>
      </c>
    </row>
    <row r="62" spans="1:27" x14ac:dyDescent="0.25">
      <c r="A62" s="810"/>
      <c r="B62" s="247">
        <v>600</v>
      </c>
      <c r="C62" s="46" t="s">
        <v>174</v>
      </c>
      <c r="D62" s="116"/>
      <c r="E62" s="116"/>
      <c r="F62" s="116"/>
      <c r="G62" s="116"/>
      <c r="H62" s="116"/>
      <c r="I62" s="46">
        <v>2000</v>
      </c>
      <c r="J62" s="116"/>
      <c r="K62" s="116"/>
      <c r="L62" s="116"/>
      <c r="M62" s="252"/>
      <c r="N62" s="47">
        <v>0</v>
      </c>
      <c r="O62" s="234"/>
      <c r="P62" s="234"/>
      <c r="Q62" s="47">
        <v>16000</v>
      </c>
      <c r="R62" s="153"/>
      <c r="S62" s="156">
        <v>0</v>
      </c>
      <c r="T62" s="652"/>
      <c r="U62" s="653"/>
    </row>
    <row r="63" spans="1:27" x14ac:dyDescent="0.25">
      <c r="A63" s="810"/>
      <c r="B63" s="247">
        <v>600</v>
      </c>
      <c r="C63" s="23" t="s">
        <v>175</v>
      </c>
      <c r="D63" s="24"/>
      <c r="E63" s="24"/>
      <c r="F63" s="24"/>
      <c r="G63" s="24"/>
      <c r="H63" s="24"/>
      <c r="I63" s="23">
        <v>10000</v>
      </c>
      <c r="J63" s="24">
        <v>1500</v>
      </c>
      <c r="K63" s="24">
        <v>370</v>
      </c>
      <c r="L63" s="24">
        <v>592.20000000000005</v>
      </c>
      <c r="M63" s="175">
        <v>1220</v>
      </c>
      <c r="N63" s="25">
        <v>0</v>
      </c>
      <c r="O63" s="118"/>
      <c r="P63" s="118"/>
      <c r="Q63" s="25">
        <v>4000</v>
      </c>
      <c r="R63" s="153">
        <v>4000</v>
      </c>
      <c r="S63" s="156">
        <v>1</v>
      </c>
      <c r="T63" s="652"/>
      <c r="U63" s="653"/>
    </row>
    <row r="64" spans="1:27" x14ac:dyDescent="0.25">
      <c r="A64" s="810"/>
      <c r="B64" s="247">
        <v>600</v>
      </c>
      <c r="C64" s="23" t="s">
        <v>176</v>
      </c>
      <c r="D64" s="24"/>
      <c r="E64" s="24"/>
      <c r="F64" s="24"/>
      <c r="G64" s="24"/>
      <c r="H64" s="24"/>
      <c r="I64" s="23">
        <v>1871</v>
      </c>
      <c r="J64" s="24">
        <v>2416</v>
      </c>
      <c r="K64" s="24">
        <v>4274</v>
      </c>
      <c r="L64" s="24">
        <v>2000</v>
      </c>
      <c r="M64" s="175">
        <v>3500</v>
      </c>
      <c r="N64" s="25"/>
      <c r="O64" s="118">
        <v>3571.7</v>
      </c>
      <c r="P64" s="118"/>
      <c r="Q64" s="25">
        <v>4000</v>
      </c>
      <c r="R64" s="153">
        <v>10000</v>
      </c>
      <c r="S64" s="156">
        <v>2.5</v>
      </c>
      <c r="T64" s="652">
        <v>4000</v>
      </c>
      <c r="U64" s="653">
        <v>4000</v>
      </c>
    </row>
    <row r="65" spans="1:22" x14ac:dyDescent="0.25">
      <c r="A65" s="810"/>
      <c r="B65" s="247">
        <v>600</v>
      </c>
      <c r="C65" s="23" t="s">
        <v>177</v>
      </c>
      <c r="D65" s="24"/>
      <c r="E65" s="24"/>
      <c r="F65" s="24"/>
      <c r="G65" s="24"/>
      <c r="H65" s="24"/>
      <c r="I65" s="23">
        <v>3240</v>
      </c>
      <c r="J65" s="24">
        <v>832</v>
      </c>
      <c r="K65" s="24">
        <v>1493</v>
      </c>
      <c r="L65" s="24">
        <v>1232</v>
      </c>
      <c r="M65" s="175">
        <v>1000</v>
      </c>
      <c r="N65" s="25"/>
      <c r="O65" s="118"/>
      <c r="P65" s="118"/>
      <c r="Q65" s="25">
        <v>0</v>
      </c>
      <c r="R65" s="153">
        <v>1000</v>
      </c>
      <c r="S65" s="156">
        <v>0</v>
      </c>
      <c r="T65" s="652">
        <v>1000</v>
      </c>
      <c r="U65" s="653">
        <v>1000</v>
      </c>
    </row>
    <row r="66" spans="1:22" ht="15.75" thickBot="1" x14ac:dyDescent="0.3">
      <c r="A66" s="810"/>
      <c r="B66" s="247">
        <v>600</v>
      </c>
      <c r="C66" s="23" t="s">
        <v>178</v>
      </c>
      <c r="D66" s="24"/>
      <c r="E66" s="24"/>
      <c r="F66" s="24"/>
      <c r="G66" s="24"/>
      <c r="H66" s="24"/>
      <c r="I66" s="23">
        <v>7924</v>
      </c>
      <c r="J66" s="24">
        <v>11969</v>
      </c>
      <c r="K66" s="24">
        <v>11202</v>
      </c>
      <c r="L66" s="24">
        <v>15790.12</v>
      </c>
      <c r="M66" s="175">
        <v>6364.23</v>
      </c>
      <c r="N66" s="25">
        <v>23781</v>
      </c>
      <c r="O66" s="118">
        <v>23770.99</v>
      </c>
      <c r="P66" s="118">
        <v>28253.89</v>
      </c>
      <c r="Q66" s="25">
        <v>26500</v>
      </c>
      <c r="R66" s="27">
        <v>39953</v>
      </c>
      <c r="S66" s="156">
        <v>1.5076603773584905</v>
      </c>
      <c r="T66" s="652">
        <v>39953</v>
      </c>
      <c r="U66" s="653">
        <v>39953</v>
      </c>
    </row>
    <row r="67" spans="1:22" ht="15.75" hidden="1" thickBot="1" x14ac:dyDescent="0.3">
      <c r="A67" s="810"/>
      <c r="B67" s="247">
        <v>600</v>
      </c>
      <c r="C67" s="23" t="s">
        <v>179</v>
      </c>
      <c r="D67" s="24"/>
      <c r="E67" s="24"/>
      <c r="F67" s="24"/>
      <c r="G67" s="24"/>
      <c r="H67" s="24"/>
      <c r="I67" s="23"/>
      <c r="J67" s="24">
        <v>4512</v>
      </c>
      <c r="K67" s="24">
        <v>5000</v>
      </c>
      <c r="L67" s="24"/>
      <c r="M67" s="253"/>
      <c r="N67" s="50">
        <v>0</v>
      </c>
      <c r="O67" s="179"/>
      <c r="P67" s="179"/>
      <c r="Q67" s="50"/>
      <c r="R67" s="254"/>
      <c r="S67" s="156">
        <v>0</v>
      </c>
      <c r="T67" s="654"/>
      <c r="U67" s="655"/>
    </row>
    <row r="68" spans="1:22" ht="15.75" hidden="1" thickBot="1" x14ac:dyDescent="0.3">
      <c r="A68" s="810"/>
      <c r="B68" s="247">
        <v>600</v>
      </c>
      <c r="C68" s="255" t="s">
        <v>180</v>
      </c>
      <c r="D68" s="24"/>
      <c r="E68" s="24"/>
      <c r="F68" s="24"/>
      <c r="G68" s="24"/>
      <c r="H68" s="24"/>
      <c r="I68" s="23"/>
      <c r="J68" s="24">
        <v>6450</v>
      </c>
      <c r="K68" s="116"/>
      <c r="L68" s="24"/>
      <c r="M68" s="24"/>
      <c r="N68" s="25">
        <v>0</v>
      </c>
      <c r="O68" s="118"/>
      <c r="P68" s="118"/>
      <c r="Q68" s="25"/>
      <c r="R68" s="254"/>
      <c r="S68" s="156">
        <v>0</v>
      </c>
      <c r="T68" s="654"/>
      <c r="U68" s="655"/>
    </row>
    <row r="69" spans="1:22" ht="15.75" hidden="1" thickBot="1" x14ac:dyDescent="0.3">
      <c r="A69" s="811"/>
      <c r="B69" s="256">
        <v>600</v>
      </c>
      <c r="C69" s="64" t="s">
        <v>181</v>
      </c>
      <c r="D69" s="203"/>
      <c r="E69" s="203"/>
      <c r="F69" s="203"/>
      <c r="G69" s="203"/>
      <c r="H69" s="203"/>
      <c r="I69" s="186"/>
      <c r="J69" s="186"/>
      <c r="K69" s="257"/>
      <c r="L69" s="257">
        <v>2000</v>
      </c>
      <c r="M69" s="30">
        <v>2000</v>
      </c>
      <c r="N69" s="31">
        <v>0</v>
      </c>
      <c r="O69" s="258"/>
      <c r="P69" s="258"/>
      <c r="Q69" s="31"/>
      <c r="R69" s="259"/>
      <c r="S69" s="161">
        <v>0</v>
      </c>
      <c r="T69" s="162"/>
      <c r="U69" s="656"/>
    </row>
    <row r="70" spans="1:22" ht="15.75" thickBot="1" x14ac:dyDescent="0.3">
      <c r="A70" s="163" t="s">
        <v>182</v>
      </c>
      <c r="B70" s="762" t="s">
        <v>183</v>
      </c>
      <c r="C70" s="761"/>
      <c r="D70" s="164">
        <v>16132</v>
      </c>
      <c r="E70" s="164">
        <v>16995</v>
      </c>
      <c r="F70" s="164">
        <v>21045</v>
      </c>
      <c r="G70" s="164">
        <v>23225</v>
      </c>
      <c r="H70" s="164">
        <v>22830</v>
      </c>
      <c r="I70" s="260">
        <v>22296</v>
      </c>
      <c r="J70" s="260">
        <v>33352</v>
      </c>
      <c r="K70" s="87">
        <v>37492</v>
      </c>
      <c r="L70" s="88">
        <v>38137.74</v>
      </c>
      <c r="M70" s="125">
        <v>48253.93</v>
      </c>
      <c r="N70" s="165">
        <f>SUM(N71:N73)</f>
        <v>65222.28</v>
      </c>
      <c r="O70" s="166">
        <f>SUM(O71:O73)</f>
        <v>78515.91</v>
      </c>
      <c r="P70" s="166">
        <f>SUM(P71:P73)</f>
        <v>87575.21</v>
      </c>
      <c r="Q70" s="165">
        <f>SUM(Q71:Q73)</f>
        <v>114663</v>
      </c>
      <c r="R70" s="165">
        <v>123484</v>
      </c>
      <c r="S70" s="193">
        <v>1.076929785545468</v>
      </c>
      <c r="T70" s="659">
        <v>123484</v>
      </c>
      <c r="U70" s="617">
        <v>123484</v>
      </c>
    </row>
    <row r="71" spans="1:22" x14ac:dyDescent="0.25">
      <c r="A71" s="809"/>
      <c r="B71" s="261" t="s">
        <v>184</v>
      </c>
      <c r="C71" s="17" t="s">
        <v>129</v>
      </c>
      <c r="D71" s="169"/>
      <c r="E71" s="169"/>
      <c r="F71" s="169"/>
      <c r="G71" s="169"/>
      <c r="H71" s="169"/>
      <c r="I71" s="17"/>
      <c r="J71" s="17"/>
      <c r="K71" s="18"/>
      <c r="L71" s="18"/>
      <c r="M71" s="47"/>
      <c r="N71" s="235">
        <v>65222.28</v>
      </c>
      <c r="O71" s="262">
        <v>54948.07</v>
      </c>
      <c r="P71" s="262">
        <v>60328.94</v>
      </c>
      <c r="Q71" s="235">
        <v>84220</v>
      </c>
      <c r="R71" s="235">
        <v>84882</v>
      </c>
      <c r="S71" s="151">
        <v>1.0078603657088578</v>
      </c>
      <c r="T71" s="650">
        <v>123484</v>
      </c>
      <c r="U71" s="651">
        <v>123484</v>
      </c>
    </row>
    <row r="72" spans="1:22" x14ac:dyDescent="0.25">
      <c r="A72" s="810"/>
      <c r="B72" s="263" t="s">
        <v>184</v>
      </c>
      <c r="C72" s="23" t="s">
        <v>130</v>
      </c>
      <c r="D72" s="174"/>
      <c r="E72" s="174"/>
      <c r="F72" s="174"/>
      <c r="G72" s="174"/>
      <c r="H72" s="174"/>
      <c r="I72" s="23"/>
      <c r="J72" s="23"/>
      <c r="K72" s="24"/>
      <c r="L72" s="24"/>
      <c r="M72" s="25"/>
      <c r="N72" s="264"/>
      <c r="O72" s="265">
        <v>17076.54</v>
      </c>
      <c r="P72" s="265">
        <v>18947.38</v>
      </c>
      <c r="Q72" s="264">
        <v>30443</v>
      </c>
      <c r="R72" s="264">
        <v>30602</v>
      </c>
      <c r="S72" s="156">
        <v>1.0052228755378905</v>
      </c>
      <c r="T72" s="652"/>
      <c r="U72" s="653"/>
    </row>
    <row r="73" spans="1:22" ht="15.75" thickBot="1" x14ac:dyDescent="0.3">
      <c r="A73" s="811"/>
      <c r="B73" s="266">
        <v>600</v>
      </c>
      <c r="C73" s="64" t="s">
        <v>131</v>
      </c>
      <c r="D73" s="223"/>
      <c r="E73" s="223"/>
      <c r="F73" s="223"/>
      <c r="G73" s="223"/>
      <c r="H73" s="223"/>
      <c r="I73" s="64"/>
      <c r="J73" s="64"/>
      <c r="K73" s="79"/>
      <c r="L73" s="79"/>
      <c r="M73" s="52"/>
      <c r="N73" s="221"/>
      <c r="O73" s="267">
        <v>6491.2999999999993</v>
      </c>
      <c r="P73" s="267">
        <v>8298.89</v>
      </c>
      <c r="Q73" s="221">
        <v>0</v>
      </c>
      <c r="R73" s="221">
        <v>8000</v>
      </c>
      <c r="S73" s="161">
        <v>0</v>
      </c>
      <c r="T73" s="663"/>
      <c r="U73" s="658"/>
    </row>
    <row r="74" spans="1:22" ht="15.75" thickBot="1" x14ac:dyDescent="0.3">
      <c r="A74" s="240" t="s">
        <v>185</v>
      </c>
      <c r="B74" s="818" t="s">
        <v>186</v>
      </c>
      <c r="C74" s="819"/>
      <c r="D74" s="241">
        <v>1016763</v>
      </c>
      <c r="E74" s="241">
        <v>271062</v>
      </c>
      <c r="F74" s="241">
        <v>471453</v>
      </c>
      <c r="G74" s="241">
        <v>456862</v>
      </c>
      <c r="H74" s="103">
        <f t="shared" ref="H74:R74" si="14">SUM(H75:H78)</f>
        <v>440003</v>
      </c>
      <c r="I74" s="103">
        <f t="shared" si="14"/>
        <v>428961</v>
      </c>
      <c r="J74" s="103">
        <f t="shared" si="14"/>
        <v>454364</v>
      </c>
      <c r="K74" s="103">
        <f t="shared" si="14"/>
        <v>445324</v>
      </c>
      <c r="L74" s="104">
        <f>SUM(L75:L78)</f>
        <v>440667.17</v>
      </c>
      <c r="M74" s="88">
        <f t="shared" si="14"/>
        <v>406831.45</v>
      </c>
      <c r="N74" s="165">
        <f t="shared" si="14"/>
        <v>398077.16</v>
      </c>
      <c r="O74" s="166">
        <f>SUM(O75:O78)</f>
        <v>411260.17</v>
      </c>
      <c r="P74" s="166">
        <f>SUM(P75:P78)</f>
        <v>607295.49</v>
      </c>
      <c r="Q74" s="165">
        <f>SUM(Q75:Q78)</f>
        <v>587134</v>
      </c>
      <c r="R74" s="165">
        <v>586846</v>
      </c>
      <c r="S74" s="193">
        <v>0.99950948165154807</v>
      </c>
      <c r="T74" s="659">
        <v>590027</v>
      </c>
      <c r="U74" s="617">
        <v>592042</v>
      </c>
    </row>
    <row r="75" spans="1:22" x14ac:dyDescent="0.25">
      <c r="A75" s="812"/>
      <c r="B75" s="168">
        <v>630</v>
      </c>
      <c r="C75" s="268" t="s">
        <v>102</v>
      </c>
      <c r="D75" s="269"/>
      <c r="E75" s="269"/>
      <c r="F75" s="269"/>
      <c r="G75" s="269"/>
      <c r="H75" s="229">
        <v>4585</v>
      </c>
      <c r="I75" s="270">
        <v>1644</v>
      </c>
      <c r="J75" s="268"/>
      <c r="K75" s="18"/>
      <c r="L75" s="170"/>
      <c r="M75" s="234"/>
      <c r="N75" s="47"/>
      <c r="O75" s="234"/>
      <c r="P75" s="234">
        <v>21699.02</v>
      </c>
      <c r="Q75" s="47"/>
      <c r="R75" s="235"/>
      <c r="S75" s="151">
        <v>0</v>
      </c>
      <c r="T75" s="670"/>
      <c r="U75" s="671"/>
    </row>
    <row r="76" spans="1:22" x14ac:dyDescent="0.25">
      <c r="A76" s="813"/>
      <c r="B76" s="263" t="s">
        <v>187</v>
      </c>
      <c r="C76" s="271" t="s">
        <v>188</v>
      </c>
      <c r="D76" s="272"/>
      <c r="E76" s="272"/>
      <c r="F76" s="272"/>
      <c r="G76" s="272"/>
      <c r="H76" s="184">
        <v>7659</v>
      </c>
      <c r="I76" s="273">
        <v>5301</v>
      </c>
      <c r="J76" s="184">
        <v>3974</v>
      </c>
      <c r="K76" s="274">
        <v>3974</v>
      </c>
      <c r="L76" s="275">
        <v>3974.17</v>
      </c>
      <c r="M76" s="118">
        <v>4974.0200000000004</v>
      </c>
      <c r="N76" s="25">
        <v>3974.17</v>
      </c>
      <c r="O76" s="118">
        <v>3974.17</v>
      </c>
      <c r="P76" s="118">
        <v>3974.17</v>
      </c>
      <c r="Q76" s="25">
        <v>3900</v>
      </c>
      <c r="R76" s="264">
        <v>3900</v>
      </c>
      <c r="S76" s="156">
        <v>1</v>
      </c>
      <c r="T76" s="652">
        <v>3900</v>
      </c>
      <c r="U76" s="653">
        <v>3900</v>
      </c>
    </row>
    <row r="77" spans="1:22" x14ac:dyDescent="0.25">
      <c r="A77" s="813"/>
      <c r="B77" s="263" t="s">
        <v>187</v>
      </c>
      <c r="C77" s="271" t="s">
        <v>189</v>
      </c>
      <c r="D77" s="276"/>
      <c r="E77" s="276"/>
      <c r="F77" s="276"/>
      <c r="G77" s="276"/>
      <c r="H77" s="277"/>
      <c r="I77" s="278"/>
      <c r="J77" s="277"/>
      <c r="K77" s="279"/>
      <c r="L77" s="280"/>
      <c r="M77" s="179"/>
      <c r="N77" s="50"/>
      <c r="O77" s="179">
        <v>49000</v>
      </c>
      <c r="P77" s="179">
        <v>97445.88</v>
      </c>
      <c r="Q77" s="50">
        <v>0</v>
      </c>
      <c r="R77" s="180">
        <v>0</v>
      </c>
      <c r="S77" s="156">
        <v>0</v>
      </c>
      <c r="T77" s="663">
        <v>2926</v>
      </c>
      <c r="U77" s="658">
        <v>0</v>
      </c>
    </row>
    <row r="78" spans="1:22" ht="15.75" thickBot="1" x14ac:dyDescent="0.3">
      <c r="A78" s="814"/>
      <c r="B78" s="176">
        <v>640</v>
      </c>
      <c r="C78" s="281" t="s">
        <v>190</v>
      </c>
      <c r="D78" s="79"/>
      <c r="E78" s="79"/>
      <c r="F78" s="79"/>
      <c r="G78" s="79"/>
      <c r="H78" s="223">
        <v>427759</v>
      </c>
      <c r="I78" s="282">
        <v>422016</v>
      </c>
      <c r="J78" s="223">
        <v>450390</v>
      </c>
      <c r="K78" s="283">
        <v>441350</v>
      </c>
      <c r="L78" s="284">
        <v>436693</v>
      </c>
      <c r="M78" s="258">
        <v>401857.43</v>
      </c>
      <c r="N78" s="31">
        <v>394102.99</v>
      </c>
      <c r="O78" s="258">
        <v>358286</v>
      </c>
      <c r="P78" s="258">
        <v>484176.42</v>
      </c>
      <c r="Q78" s="31">
        <v>583234</v>
      </c>
      <c r="R78" s="285">
        <v>582946</v>
      </c>
      <c r="S78" s="161">
        <v>0.99950620162747716</v>
      </c>
      <c r="T78" s="663">
        <v>583201</v>
      </c>
      <c r="U78" s="658">
        <v>588142</v>
      </c>
      <c r="V78" s="204"/>
    </row>
    <row r="79" spans="1:22" ht="15.75" hidden="1" thickBot="1" x14ac:dyDescent="0.3">
      <c r="A79" s="286" t="s">
        <v>191</v>
      </c>
      <c r="B79" s="820" t="s">
        <v>192</v>
      </c>
      <c r="C79" s="821"/>
      <c r="D79" s="287"/>
      <c r="E79" s="287"/>
      <c r="F79" s="287"/>
      <c r="G79" s="287"/>
      <c r="H79" s="287"/>
      <c r="I79" s="288">
        <v>0</v>
      </c>
      <c r="J79" s="288">
        <v>0</v>
      </c>
      <c r="K79" s="289">
        <f>K80</f>
        <v>0</v>
      </c>
      <c r="L79" s="290"/>
      <c r="M79" s="289">
        <f>M80</f>
        <v>0</v>
      </c>
      <c r="N79" s="291"/>
      <c r="O79" s="291"/>
      <c r="P79" s="291"/>
      <c r="Q79" s="291"/>
      <c r="R79" s="292">
        <v>0</v>
      </c>
      <c r="S79" s="167">
        <v>0</v>
      </c>
      <c r="T79" s="672"/>
      <c r="U79" s="673"/>
    </row>
    <row r="80" spans="1:22" ht="15.75" hidden="1" thickBot="1" x14ac:dyDescent="0.3">
      <c r="A80" s="740"/>
      <c r="B80" s="249">
        <v>630</v>
      </c>
      <c r="C80" s="293" t="s">
        <v>193</v>
      </c>
      <c r="D80" s="294"/>
      <c r="E80" s="294"/>
      <c r="F80" s="294"/>
      <c r="G80" s="294"/>
      <c r="H80" s="294"/>
      <c r="I80" s="295" t="s">
        <v>194</v>
      </c>
      <c r="J80" s="295" t="s">
        <v>194</v>
      </c>
      <c r="K80" s="250"/>
      <c r="L80" s="108"/>
      <c r="M80" s="109"/>
      <c r="N80" s="109"/>
      <c r="O80" s="109"/>
      <c r="P80" s="109"/>
      <c r="Q80" s="109"/>
      <c r="R80" s="239"/>
      <c r="S80" s="198">
        <v>0</v>
      </c>
      <c r="T80" s="674"/>
      <c r="U80" s="675"/>
    </row>
    <row r="81" spans="1:21" ht="15.75" thickBot="1" x14ac:dyDescent="0.3">
      <c r="A81" s="240" t="s">
        <v>195</v>
      </c>
      <c r="B81" s="818" t="s">
        <v>196</v>
      </c>
      <c r="C81" s="819"/>
      <c r="D81" s="241">
        <v>11817</v>
      </c>
      <c r="E81" s="241">
        <v>11784</v>
      </c>
      <c r="F81" s="241">
        <v>12315</v>
      </c>
      <c r="G81" s="241">
        <v>20259</v>
      </c>
      <c r="H81" s="103">
        <f t="shared" ref="H81:M81" si="15">SUM(H82:H85)</f>
        <v>14522</v>
      </c>
      <c r="I81" s="103">
        <f t="shared" si="15"/>
        <v>159820</v>
      </c>
      <c r="J81" s="103">
        <f t="shared" si="15"/>
        <v>64721</v>
      </c>
      <c r="K81" s="103">
        <f t="shared" si="15"/>
        <v>10450</v>
      </c>
      <c r="L81" s="104">
        <f t="shared" si="15"/>
        <v>10682.39</v>
      </c>
      <c r="M81" s="104">
        <f t="shared" si="15"/>
        <v>9819.23</v>
      </c>
      <c r="N81" s="242">
        <f>SUM(N82:N85)</f>
        <v>9873.75</v>
      </c>
      <c r="O81" s="243">
        <f>SUM(O82:O85)</f>
        <v>11427.249999999998</v>
      </c>
      <c r="P81" s="243">
        <f>SUM(P82:P85)</f>
        <v>14386.410000000002</v>
      </c>
      <c r="Q81" s="242">
        <f>SUM(Q82:Q85)</f>
        <v>14623</v>
      </c>
      <c r="R81" s="242">
        <v>15134</v>
      </c>
      <c r="S81" s="193">
        <v>1.034944949736716</v>
      </c>
      <c r="T81" s="659">
        <v>15134</v>
      </c>
      <c r="U81" s="617">
        <v>15134</v>
      </c>
    </row>
    <row r="82" spans="1:21" x14ac:dyDescent="0.25">
      <c r="A82" s="809"/>
      <c r="B82" s="188">
        <v>610</v>
      </c>
      <c r="C82" s="60" t="s">
        <v>129</v>
      </c>
      <c r="D82" s="201"/>
      <c r="E82" s="201">
        <v>7435</v>
      </c>
      <c r="F82" s="201">
        <v>7170</v>
      </c>
      <c r="G82" s="201">
        <v>13170</v>
      </c>
      <c r="H82" s="201">
        <v>9057</v>
      </c>
      <c r="I82" s="60">
        <v>7158</v>
      </c>
      <c r="J82" s="61">
        <v>7062</v>
      </c>
      <c r="K82" s="61">
        <v>6902</v>
      </c>
      <c r="L82" s="130">
        <v>7013.99</v>
      </c>
      <c r="M82" s="130">
        <v>6670.5</v>
      </c>
      <c r="N82" s="21">
        <v>6756.74</v>
      </c>
      <c r="O82" s="20">
        <v>6231.04</v>
      </c>
      <c r="P82" s="20">
        <v>9222.5300000000007</v>
      </c>
      <c r="Q82" s="21">
        <v>9935</v>
      </c>
      <c r="R82" s="150">
        <v>10314</v>
      </c>
      <c r="S82" s="151">
        <v>1.038147961751384</v>
      </c>
      <c r="T82" s="650">
        <v>10314</v>
      </c>
      <c r="U82" s="651">
        <v>10314</v>
      </c>
    </row>
    <row r="83" spans="1:21" x14ac:dyDescent="0.25">
      <c r="A83" s="810"/>
      <c r="B83" s="189">
        <v>620</v>
      </c>
      <c r="C83" s="62" t="s">
        <v>130</v>
      </c>
      <c r="D83" s="202"/>
      <c r="E83" s="202">
        <v>2722</v>
      </c>
      <c r="F83" s="202">
        <v>2589</v>
      </c>
      <c r="G83" s="202">
        <v>4447</v>
      </c>
      <c r="H83" s="202">
        <v>3981</v>
      </c>
      <c r="I83" s="62">
        <v>2874</v>
      </c>
      <c r="J83" s="63">
        <v>2706</v>
      </c>
      <c r="K83" s="63">
        <v>2594</v>
      </c>
      <c r="L83" s="131">
        <v>2904.51</v>
      </c>
      <c r="M83" s="131">
        <v>2212.12</v>
      </c>
      <c r="N83" s="27">
        <v>2382.5100000000002</v>
      </c>
      <c r="O83" s="26">
        <v>2182.2399999999998</v>
      </c>
      <c r="P83" s="26">
        <v>3409.77</v>
      </c>
      <c r="Q83" s="27">
        <v>3688</v>
      </c>
      <c r="R83" s="153">
        <v>3820</v>
      </c>
      <c r="S83" s="156">
        <v>1.0357917570498916</v>
      </c>
      <c r="T83" s="652">
        <v>3820</v>
      </c>
      <c r="U83" s="653">
        <v>3820</v>
      </c>
    </row>
    <row r="84" spans="1:21" x14ac:dyDescent="0.25">
      <c r="A84" s="810"/>
      <c r="B84" s="189">
        <v>630</v>
      </c>
      <c r="C84" s="62" t="s">
        <v>131</v>
      </c>
      <c r="D84" s="202"/>
      <c r="E84" s="202">
        <v>1627</v>
      </c>
      <c r="F84" s="202">
        <v>2556</v>
      </c>
      <c r="G84" s="202">
        <v>2642</v>
      </c>
      <c r="H84" s="202">
        <v>1484</v>
      </c>
      <c r="I84" s="62">
        <v>1204</v>
      </c>
      <c r="J84" s="63">
        <v>1574</v>
      </c>
      <c r="K84" s="63">
        <v>954</v>
      </c>
      <c r="L84" s="131">
        <v>763.89</v>
      </c>
      <c r="M84" s="131">
        <v>936.61</v>
      </c>
      <c r="N84" s="27">
        <v>734.5</v>
      </c>
      <c r="O84" s="26">
        <v>3013.97</v>
      </c>
      <c r="P84" s="26">
        <v>1754.11</v>
      </c>
      <c r="Q84" s="27">
        <v>1000</v>
      </c>
      <c r="R84" s="153">
        <v>1000</v>
      </c>
      <c r="S84" s="156">
        <v>1</v>
      </c>
      <c r="T84" s="652">
        <v>1000</v>
      </c>
      <c r="U84" s="653">
        <v>1000</v>
      </c>
    </row>
    <row r="85" spans="1:21" ht="15.75" thickBot="1" x14ac:dyDescent="0.3">
      <c r="A85" s="811"/>
      <c r="B85" s="266">
        <v>600</v>
      </c>
      <c r="C85" s="296" t="s">
        <v>197</v>
      </c>
      <c r="D85" s="297"/>
      <c r="E85" s="297"/>
      <c r="F85" s="297"/>
      <c r="G85" s="297"/>
      <c r="H85" s="297"/>
      <c r="I85" s="296">
        <v>148584</v>
      </c>
      <c r="J85" s="298">
        <v>53379</v>
      </c>
      <c r="K85" s="79"/>
      <c r="L85" s="224"/>
      <c r="M85" s="79"/>
      <c r="N85" s="33"/>
      <c r="O85" s="33"/>
      <c r="P85" s="33"/>
      <c r="Q85" s="33"/>
      <c r="R85" s="225"/>
      <c r="S85" s="161">
        <v>0</v>
      </c>
      <c r="T85" s="162"/>
      <c r="U85" s="656"/>
    </row>
    <row r="86" spans="1:21" ht="15.75" thickBot="1" x14ac:dyDescent="0.3">
      <c r="A86" s="299" t="s">
        <v>198</v>
      </c>
      <c r="B86" s="822" t="s">
        <v>199</v>
      </c>
      <c r="C86" s="823"/>
      <c r="D86" s="164">
        <v>11518</v>
      </c>
      <c r="E86" s="164">
        <v>13012</v>
      </c>
      <c r="F86" s="164">
        <v>13643</v>
      </c>
      <c r="G86" s="164">
        <v>15109</v>
      </c>
      <c r="H86" s="164">
        <v>14271</v>
      </c>
      <c r="I86" s="87">
        <f t="shared" ref="I86:R86" si="16">SUM(I87:I89)</f>
        <v>14580</v>
      </c>
      <c r="J86" s="87">
        <f t="shared" si="16"/>
        <v>13755</v>
      </c>
      <c r="K86" s="87">
        <f t="shared" si="16"/>
        <v>12987</v>
      </c>
      <c r="L86" s="88">
        <f t="shared" si="16"/>
        <v>12440.38</v>
      </c>
      <c r="M86" s="88">
        <f>SUM(M87:M90)</f>
        <v>12085.220000000001</v>
      </c>
      <c r="N86" s="165">
        <f>SUM(N87:N90)</f>
        <v>14820</v>
      </c>
      <c r="O86" s="166">
        <f>SUM(O87:O90)</f>
        <v>17802.890000000003</v>
      </c>
      <c r="P86" s="166">
        <f>SUM(P87:P90)</f>
        <v>18901.939999999999</v>
      </c>
      <c r="Q86" s="165">
        <f>SUM(Q87:Q90)</f>
        <v>24387</v>
      </c>
      <c r="R86" s="165">
        <v>21115</v>
      </c>
      <c r="S86" s="193">
        <v>0.86583015541066966</v>
      </c>
      <c r="T86" s="659">
        <v>21115</v>
      </c>
      <c r="U86" s="617">
        <v>21115</v>
      </c>
    </row>
    <row r="87" spans="1:21" x14ac:dyDescent="0.25">
      <c r="A87" s="809"/>
      <c r="B87" s="188">
        <v>610</v>
      </c>
      <c r="C87" s="60" t="s">
        <v>129</v>
      </c>
      <c r="D87" s="201"/>
      <c r="E87" s="201">
        <v>8099</v>
      </c>
      <c r="F87" s="201">
        <v>8597</v>
      </c>
      <c r="G87" s="201">
        <v>9417</v>
      </c>
      <c r="H87" s="201">
        <v>9528</v>
      </c>
      <c r="I87" s="60">
        <v>9523</v>
      </c>
      <c r="J87" s="61">
        <v>8900</v>
      </c>
      <c r="K87" s="61">
        <v>8730</v>
      </c>
      <c r="L87" s="20">
        <v>8356.07</v>
      </c>
      <c r="M87" s="20">
        <v>8369.9699999999993</v>
      </c>
      <c r="N87" s="21">
        <v>10167.75</v>
      </c>
      <c r="O87" s="20">
        <v>12358.6</v>
      </c>
      <c r="P87" s="20">
        <v>13120.16</v>
      </c>
      <c r="Q87" s="21">
        <v>17145</v>
      </c>
      <c r="R87" s="150">
        <v>14718</v>
      </c>
      <c r="S87" s="151">
        <v>0.85844269466316714</v>
      </c>
      <c r="T87" s="650">
        <v>14718</v>
      </c>
      <c r="U87" s="651">
        <v>14718</v>
      </c>
    </row>
    <row r="88" spans="1:21" x14ac:dyDescent="0.25">
      <c r="A88" s="810"/>
      <c r="B88" s="189">
        <v>620</v>
      </c>
      <c r="C88" s="62" t="s">
        <v>130</v>
      </c>
      <c r="D88" s="202"/>
      <c r="E88" s="202">
        <v>2855</v>
      </c>
      <c r="F88" s="202">
        <v>3220</v>
      </c>
      <c r="G88" s="202">
        <v>3567</v>
      </c>
      <c r="H88" s="202">
        <v>3607</v>
      </c>
      <c r="I88" s="62">
        <v>3617</v>
      </c>
      <c r="J88" s="63">
        <v>3393</v>
      </c>
      <c r="K88" s="63">
        <v>3330</v>
      </c>
      <c r="L88" s="26">
        <v>3406.87</v>
      </c>
      <c r="M88" s="26">
        <v>2973.01</v>
      </c>
      <c r="N88" s="27">
        <v>3841.92</v>
      </c>
      <c r="O88" s="26">
        <v>4614.21</v>
      </c>
      <c r="P88" s="26">
        <v>4873.08</v>
      </c>
      <c r="Q88" s="27">
        <v>6242</v>
      </c>
      <c r="R88" s="153">
        <v>5397</v>
      </c>
      <c r="S88" s="156">
        <v>0.8646267222044216</v>
      </c>
      <c r="T88" s="652">
        <v>5397</v>
      </c>
      <c r="U88" s="653">
        <v>5397</v>
      </c>
    </row>
    <row r="89" spans="1:21" ht="15.75" thickBot="1" x14ac:dyDescent="0.3">
      <c r="A89" s="810"/>
      <c r="B89" s="300">
        <v>630</v>
      </c>
      <c r="C89" s="65" t="s">
        <v>131</v>
      </c>
      <c r="D89" s="223"/>
      <c r="E89" s="223">
        <v>2058</v>
      </c>
      <c r="F89" s="223">
        <v>1826</v>
      </c>
      <c r="G89" s="223">
        <v>2125</v>
      </c>
      <c r="H89" s="223">
        <v>1136</v>
      </c>
      <c r="I89" s="64">
        <v>1440</v>
      </c>
      <c r="J89" s="79">
        <v>1462</v>
      </c>
      <c r="K89" s="96">
        <v>927</v>
      </c>
      <c r="L89" s="131">
        <v>677.44</v>
      </c>
      <c r="M89" s="131">
        <v>629.37</v>
      </c>
      <c r="N89" s="27">
        <v>810.33</v>
      </c>
      <c r="O89" s="26">
        <v>830.08</v>
      </c>
      <c r="P89" s="26">
        <v>908.7</v>
      </c>
      <c r="Q89" s="27">
        <v>1000</v>
      </c>
      <c r="R89" s="153">
        <v>1000</v>
      </c>
      <c r="S89" s="156">
        <v>1</v>
      </c>
      <c r="T89" s="652">
        <v>1000</v>
      </c>
      <c r="U89" s="653">
        <v>1000</v>
      </c>
    </row>
    <row r="90" spans="1:21" ht="15.75" thickBot="1" x14ac:dyDescent="0.3">
      <c r="A90" s="811"/>
      <c r="B90" s="266">
        <v>640</v>
      </c>
      <c r="C90" s="64" t="s">
        <v>132</v>
      </c>
      <c r="D90" s="237"/>
      <c r="E90" s="237"/>
      <c r="F90" s="237"/>
      <c r="G90" s="237"/>
      <c r="H90" s="237"/>
      <c r="I90" s="208"/>
      <c r="J90" s="159"/>
      <c r="K90" s="203"/>
      <c r="L90" s="301"/>
      <c r="M90" s="301">
        <v>112.87</v>
      </c>
      <c r="N90" s="93"/>
      <c r="O90" s="93"/>
      <c r="P90" s="93"/>
      <c r="Q90" s="93"/>
      <c r="R90" s="187"/>
      <c r="S90" s="198">
        <v>0</v>
      </c>
      <c r="T90" s="660"/>
      <c r="U90" s="661"/>
    </row>
    <row r="91" spans="1:21" ht="15.75" thickBot="1" x14ac:dyDescent="0.3">
      <c r="A91" s="240" t="s">
        <v>200</v>
      </c>
      <c r="B91" s="815" t="s">
        <v>201</v>
      </c>
      <c r="C91" s="773"/>
      <c r="D91" s="241">
        <v>0</v>
      </c>
      <c r="E91" s="241">
        <v>221337</v>
      </c>
      <c r="F91" s="241">
        <v>136394</v>
      </c>
      <c r="G91" s="241">
        <v>214824</v>
      </c>
      <c r="H91" s="241">
        <v>646088</v>
      </c>
      <c r="I91" s="87">
        <f>SUM(I97:I109)</f>
        <v>152165</v>
      </c>
      <c r="J91" s="87">
        <f>SUM(J97:J109)</f>
        <v>173492</v>
      </c>
      <c r="K91" s="87">
        <f>SUM(K97:K109)</f>
        <v>219663</v>
      </c>
      <c r="L91" s="88">
        <f t="shared" ref="L91:R91" si="17">SUM(L92:L109)</f>
        <v>485501.09</v>
      </c>
      <c r="M91" s="88">
        <f t="shared" si="17"/>
        <v>315963.52000000002</v>
      </c>
      <c r="N91" s="165">
        <f t="shared" si="17"/>
        <v>306308.77</v>
      </c>
      <c r="O91" s="166">
        <f t="shared" si="17"/>
        <v>235650.84</v>
      </c>
      <c r="P91" s="166">
        <f>SUM(P92:P109)</f>
        <v>258445.63</v>
      </c>
      <c r="Q91" s="165">
        <f t="shared" si="17"/>
        <v>239323</v>
      </c>
      <c r="R91" s="165">
        <v>218210</v>
      </c>
      <c r="S91" s="193">
        <v>0.91178031363471124</v>
      </c>
      <c r="T91" s="659">
        <v>223406</v>
      </c>
      <c r="U91" s="617">
        <v>228758</v>
      </c>
    </row>
    <row r="92" spans="1:21" ht="13.5" hidden="1" customHeight="1" x14ac:dyDescent="0.25">
      <c r="A92" s="812"/>
      <c r="B92" s="188">
        <v>630</v>
      </c>
      <c r="C92" s="60" t="s">
        <v>202</v>
      </c>
      <c r="D92" s="302"/>
      <c r="E92" s="302"/>
      <c r="F92" s="302"/>
      <c r="G92" s="302"/>
      <c r="H92" s="302"/>
      <c r="I92" s="303"/>
      <c r="J92" s="303"/>
      <c r="K92" s="303"/>
      <c r="L92" s="171">
        <v>164829</v>
      </c>
      <c r="M92" s="171">
        <v>115488</v>
      </c>
      <c r="N92" s="19">
        <v>98750</v>
      </c>
      <c r="O92" s="171"/>
      <c r="P92" s="171"/>
      <c r="Q92" s="19"/>
      <c r="R92" s="304"/>
      <c r="S92" s="151">
        <v>0</v>
      </c>
      <c r="T92" s="670"/>
      <c r="U92" s="671"/>
    </row>
    <row r="93" spans="1:21" ht="13.5" hidden="1" customHeight="1" x14ac:dyDescent="0.25">
      <c r="A93" s="813"/>
      <c r="B93" s="189"/>
      <c r="C93" s="65" t="s">
        <v>203</v>
      </c>
      <c r="D93" s="305"/>
      <c r="E93" s="305"/>
      <c r="F93" s="305"/>
      <c r="G93" s="305"/>
      <c r="H93" s="305"/>
      <c r="I93" s="306"/>
      <c r="J93" s="306"/>
      <c r="K93" s="306"/>
      <c r="L93" s="234">
        <v>9696.5400000000009</v>
      </c>
      <c r="M93" s="307"/>
      <c r="N93" s="308"/>
      <c r="O93" s="307"/>
      <c r="P93" s="307"/>
      <c r="Q93" s="308"/>
      <c r="R93" s="309"/>
      <c r="S93" s="156">
        <v>0</v>
      </c>
      <c r="T93" s="654"/>
      <c r="U93" s="655"/>
    </row>
    <row r="94" spans="1:21" ht="13.5" hidden="1" customHeight="1" x14ac:dyDescent="0.25">
      <c r="A94" s="813"/>
      <c r="B94" s="189"/>
      <c r="C94" s="65" t="s">
        <v>204</v>
      </c>
      <c r="D94" s="305"/>
      <c r="E94" s="305"/>
      <c r="F94" s="305"/>
      <c r="G94" s="305"/>
      <c r="H94" s="305"/>
      <c r="I94" s="306"/>
      <c r="J94" s="306"/>
      <c r="K94" s="306"/>
      <c r="L94" s="234">
        <v>9955.2999999999993</v>
      </c>
      <c r="M94" s="307"/>
      <c r="N94" s="308"/>
      <c r="O94" s="307"/>
      <c r="P94" s="307"/>
      <c r="Q94" s="308"/>
      <c r="R94" s="309"/>
      <c r="S94" s="156">
        <v>0</v>
      </c>
      <c r="T94" s="654"/>
      <c r="U94" s="655"/>
    </row>
    <row r="95" spans="1:21" ht="13.5" hidden="1" customHeight="1" x14ac:dyDescent="0.25">
      <c r="A95" s="813"/>
      <c r="B95" s="189"/>
      <c r="C95" s="65" t="s">
        <v>205</v>
      </c>
      <c r="D95" s="305"/>
      <c r="E95" s="305"/>
      <c r="F95" s="305"/>
      <c r="G95" s="305"/>
      <c r="H95" s="305"/>
      <c r="I95" s="306"/>
      <c r="J95" s="306"/>
      <c r="K95" s="306"/>
      <c r="L95" s="234">
        <v>11550</v>
      </c>
      <c r="M95" s="307"/>
      <c r="N95" s="308"/>
      <c r="O95" s="307"/>
      <c r="P95" s="307"/>
      <c r="Q95" s="308"/>
      <c r="R95" s="309"/>
      <c r="S95" s="156">
        <v>0</v>
      </c>
      <c r="T95" s="654"/>
      <c r="U95" s="655"/>
    </row>
    <row r="96" spans="1:21" ht="13.5" hidden="1" customHeight="1" x14ac:dyDescent="0.25">
      <c r="A96" s="813"/>
      <c r="B96" s="189"/>
      <c r="C96" s="62" t="s">
        <v>206</v>
      </c>
      <c r="D96" s="305"/>
      <c r="E96" s="305"/>
      <c r="F96" s="305"/>
      <c r="G96" s="305"/>
      <c r="H96" s="305"/>
      <c r="I96" s="306"/>
      <c r="J96" s="306"/>
      <c r="K96" s="306"/>
      <c r="L96" s="234">
        <v>11848</v>
      </c>
      <c r="M96" s="307"/>
      <c r="N96" s="308"/>
      <c r="O96" s="307"/>
      <c r="P96" s="307"/>
      <c r="Q96" s="308"/>
      <c r="R96" s="309"/>
      <c r="S96" s="156">
        <v>0</v>
      </c>
      <c r="T96" s="654"/>
      <c r="U96" s="655"/>
    </row>
    <row r="97" spans="1:21" ht="13.5" hidden="1" customHeight="1" x14ac:dyDescent="0.25">
      <c r="A97" s="813"/>
      <c r="B97" s="310"/>
      <c r="C97" s="94" t="s">
        <v>207</v>
      </c>
      <c r="D97" s="76"/>
      <c r="E97" s="76"/>
      <c r="F97" s="76"/>
      <c r="G97" s="76"/>
      <c r="H97" s="76"/>
      <c r="I97" s="94"/>
      <c r="J97" s="76"/>
      <c r="K97" s="76"/>
      <c r="L97" s="48">
        <v>55733.87</v>
      </c>
      <c r="M97" s="26">
        <v>17376</v>
      </c>
      <c r="N97" s="49"/>
      <c r="O97" s="48">
        <v>39179.72</v>
      </c>
      <c r="P97" s="48"/>
      <c r="Q97" s="49"/>
      <c r="R97" s="248"/>
      <c r="S97" s="156">
        <v>0</v>
      </c>
      <c r="T97" s="654"/>
      <c r="U97" s="655"/>
    </row>
    <row r="98" spans="1:21" ht="13.5" hidden="1" customHeight="1" x14ac:dyDescent="0.25">
      <c r="A98" s="813"/>
      <c r="B98" s="300"/>
      <c r="C98" s="65" t="s">
        <v>208</v>
      </c>
      <c r="D98" s="96"/>
      <c r="E98" s="96"/>
      <c r="F98" s="96"/>
      <c r="G98" s="96"/>
      <c r="H98" s="96"/>
      <c r="I98" s="65"/>
      <c r="J98" s="96"/>
      <c r="K98" s="63"/>
      <c r="L98" s="26">
        <v>41848</v>
      </c>
      <c r="M98" s="26"/>
      <c r="N98" s="27"/>
      <c r="O98" s="26"/>
      <c r="P98" s="26"/>
      <c r="Q98" s="27"/>
      <c r="R98" s="153"/>
      <c r="S98" s="156">
        <v>0</v>
      </c>
      <c r="T98" s="654"/>
      <c r="U98" s="655"/>
    </row>
    <row r="99" spans="1:21" ht="13.5" hidden="1" customHeight="1" x14ac:dyDescent="0.25">
      <c r="A99" s="813"/>
      <c r="B99" s="300"/>
      <c r="C99" s="65"/>
      <c r="D99" s="96"/>
      <c r="E99" s="96"/>
      <c r="F99" s="96"/>
      <c r="G99" s="96"/>
      <c r="H99" s="96"/>
      <c r="I99" s="65"/>
      <c r="J99" s="96"/>
      <c r="K99" s="63"/>
      <c r="L99" s="27"/>
      <c r="M99" s="26"/>
      <c r="N99" s="27"/>
      <c r="O99" s="26"/>
      <c r="P99" s="26"/>
      <c r="Q99" s="27"/>
      <c r="R99" s="153"/>
      <c r="S99" s="156">
        <v>0</v>
      </c>
      <c r="T99" s="654"/>
      <c r="U99" s="655"/>
    </row>
    <row r="100" spans="1:21" ht="13.5" hidden="1" customHeight="1" x14ac:dyDescent="0.25">
      <c r="A100" s="813"/>
      <c r="B100" s="300"/>
      <c r="C100" s="65"/>
      <c r="D100" s="96"/>
      <c r="E100" s="96"/>
      <c r="F100" s="96"/>
      <c r="G100" s="96"/>
      <c r="H100" s="96"/>
      <c r="I100" s="65"/>
      <c r="J100" s="96"/>
      <c r="K100" s="63"/>
      <c r="L100" s="27"/>
      <c r="M100" s="26"/>
      <c r="N100" s="27"/>
      <c r="O100" s="26"/>
      <c r="P100" s="26"/>
      <c r="Q100" s="27"/>
      <c r="R100" s="153"/>
      <c r="S100" s="156">
        <v>0</v>
      </c>
      <c r="T100" s="654"/>
      <c r="U100" s="655"/>
    </row>
    <row r="101" spans="1:21" ht="13.5" hidden="1" customHeight="1" x14ac:dyDescent="0.25">
      <c r="A101" s="813"/>
      <c r="B101" s="300"/>
      <c r="C101" s="62"/>
      <c r="D101" s="63"/>
      <c r="E101" s="63"/>
      <c r="F101" s="63"/>
      <c r="G101" s="63"/>
      <c r="H101" s="63"/>
      <c r="I101" s="62"/>
      <c r="J101" s="63"/>
      <c r="K101" s="63"/>
      <c r="L101" s="27"/>
      <c r="M101" s="26"/>
      <c r="N101" s="27"/>
      <c r="O101" s="26"/>
      <c r="P101" s="26"/>
      <c r="Q101" s="27"/>
      <c r="R101" s="153"/>
      <c r="S101" s="156">
        <v>0</v>
      </c>
      <c r="T101" s="654"/>
      <c r="U101" s="655"/>
    </row>
    <row r="102" spans="1:21" ht="13.5" hidden="1" customHeight="1" x14ac:dyDescent="0.25">
      <c r="A102" s="813"/>
      <c r="B102" s="300">
        <v>630</v>
      </c>
      <c r="C102" s="62" t="s">
        <v>209</v>
      </c>
      <c r="D102" s="63"/>
      <c r="E102" s="63"/>
      <c r="F102" s="63"/>
      <c r="G102" s="63"/>
      <c r="H102" s="63"/>
      <c r="I102" s="62">
        <v>800</v>
      </c>
      <c r="J102" s="63"/>
      <c r="K102" s="63"/>
      <c r="L102" s="27"/>
      <c r="M102" s="26"/>
      <c r="N102" s="27"/>
      <c r="O102" s="26"/>
      <c r="P102" s="26"/>
      <c r="Q102" s="27"/>
      <c r="R102" s="153"/>
      <c r="S102" s="156">
        <v>0</v>
      </c>
      <c r="T102" s="654"/>
      <c r="U102" s="655"/>
    </row>
    <row r="103" spans="1:21" ht="13.5" hidden="1" customHeight="1" x14ac:dyDescent="0.25">
      <c r="A103" s="813"/>
      <c r="B103" s="300">
        <v>630</v>
      </c>
      <c r="C103" s="62" t="s">
        <v>210</v>
      </c>
      <c r="D103" s="63"/>
      <c r="E103" s="63"/>
      <c r="F103" s="63"/>
      <c r="G103" s="63"/>
      <c r="H103" s="63"/>
      <c r="I103" s="62">
        <v>2124</v>
      </c>
      <c r="J103" s="63">
        <v>1200</v>
      </c>
      <c r="K103" s="27">
        <f>25728+5970+25054</f>
        <v>56752</v>
      </c>
      <c r="L103" s="27"/>
      <c r="M103" s="26"/>
      <c r="N103" s="27"/>
      <c r="O103" s="26"/>
      <c r="P103" s="26"/>
      <c r="Q103" s="27"/>
      <c r="R103" s="153"/>
      <c r="S103" s="156">
        <v>0</v>
      </c>
      <c r="T103" s="654"/>
      <c r="U103" s="655"/>
    </row>
    <row r="104" spans="1:21" ht="13.5" hidden="1" customHeight="1" x14ac:dyDescent="0.25">
      <c r="A104" s="813"/>
      <c r="B104" s="300">
        <v>630</v>
      </c>
      <c r="C104" s="62" t="s">
        <v>211</v>
      </c>
      <c r="D104" s="63"/>
      <c r="E104" s="63"/>
      <c r="F104" s="63"/>
      <c r="G104" s="63"/>
      <c r="H104" s="63"/>
      <c r="I104" s="62"/>
      <c r="J104" s="63">
        <v>22691</v>
      </c>
      <c r="K104" s="27">
        <v>859</v>
      </c>
      <c r="L104" s="27"/>
      <c r="M104" s="26">
        <v>774.55</v>
      </c>
      <c r="N104" s="27"/>
      <c r="O104" s="26"/>
      <c r="P104" s="26"/>
      <c r="Q104" s="27"/>
      <c r="R104" s="153"/>
      <c r="S104" s="156">
        <v>0</v>
      </c>
      <c r="T104" s="654"/>
      <c r="U104" s="655"/>
    </row>
    <row r="105" spans="1:21" ht="13.5" customHeight="1" x14ac:dyDescent="0.25">
      <c r="A105" s="813"/>
      <c r="B105" s="300">
        <v>630</v>
      </c>
      <c r="C105" s="62" t="s">
        <v>212</v>
      </c>
      <c r="D105" s="63"/>
      <c r="E105" s="63"/>
      <c r="F105" s="63"/>
      <c r="G105" s="63"/>
      <c r="H105" s="63"/>
      <c r="I105" s="62">
        <v>4435</v>
      </c>
      <c r="J105" s="63"/>
      <c r="K105" s="63">
        <v>0</v>
      </c>
      <c r="L105" s="26">
        <v>931.15</v>
      </c>
      <c r="M105" s="26">
        <v>7872</v>
      </c>
      <c r="N105" s="27">
        <v>6215.72</v>
      </c>
      <c r="O105" s="26"/>
      <c r="P105" s="26">
        <v>50244.21</v>
      </c>
      <c r="Q105" s="27"/>
      <c r="R105" s="153">
        <v>0</v>
      </c>
      <c r="S105" s="156">
        <v>0</v>
      </c>
      <c r="T105" s="652">
        <v>0</v>
      </c>
      <c r="U105" s="653">
        <v>0</v>
      </c>
    </row>
    <row r="106" spans="1:21" ht="13.5" customHeight="1" x14ac:dyDescent="0.25">
      <c r="A106" s="813"/>
      <c r="B106" s="300">
        <v>630</v>
      </c>
      <c r="C106" s="65" t="s">
        <v>213</v>
      </c>
      <c r="D106" s="96"/>
      <c r="E106" s="96"/>
      <c r="F106" s="96"/>
      <c r="G106" s="96"/>
      <c r="H106" s="96"/>
      <c r="I106" s="65"/>
      <c r="J106" s="96"/>
      <c r="K106" s="96"/>
      <c r="L106" s="52"/>
      <c r="M106" s="51"/>
      <c r="N106" s="52">
        <v>17446.490000000002</v>
      </c>
      <c r="O106" s="51"/>
      <c r="P106" s="51"/>
      <c r="Q106" s="52">
        <v>5000</v>
      </c>
      <c r="R106" s="221"/>
      <c r="S106" s="156">
        <v>0</v>
      </c>
      <c r="T106" s="654"/>
      <c r="U106" s="655"/>
    </row>
    <row r="107" spans="1:21" ht="13.5" customHeight="1" x14ac:dyDescent="0.25">
      <c r="A107" s="813"/>
      <c r="B107" s="300">
        <v>630</v>
      </c>
      <c r="C107" s="65" t="s">
        <v>214</v>
      </c>
      <c r="D107" s="96"/>
      <c r="E107" s="96"/>
      <c r="F107" s="96"/>
      <c r="G107" s="96"/>
      <c r="H107" s="96"/>
      <c r="I107" s="65">
        <v>931</v>
      </c>
      <c r="J107" s="96">
        <v>0</v>
      </c>
      <c r="K107" s="96"/>
      <c r="L107" s="96"/>
      <c r="M107" s="220"/>
      <c r="N107" s="52">
        <v>0</v>
      </c>
      <c r="O107" s="51"/>
      <c r="P107" s="51"/>
      <c r="Q107" s="52">
        <v>0</v>
      </c>
      <c r="R107" s="221"/>
      <c r="S107" s="156">
        <v>0</v>
      </c>
      <c r="T107" s="654"/>
      <c r="U107" s="655"/>
    </row>
    <row r="108" spans="1:21" ht="13.5" customHeight="1" x14ac:dyDescent="0.25">
      <c r="A108" s="813"/>
      <c r="B108" s="300">
        <v>630</v>
      </c>
      <c r="C108" s="65" t="s">
        <v>215</v>
      </c>
      <c r="D108" s="96"/>
      <c r="E108" s="96"/>
      <c r="F108" s="96"/>
      <c r="G108" s="96"/>
      <c r="H108" s="96"/>
      <c r="I108" s="62">
        <v>10805</v>
      </c>
      <c r="J108" s="63">
        <v>3148</v>
      </c>
      <c r="K108" s="96">
        <f>2890+1395+2974+8613+1646</f>
        <v>17518</v>
      </c>
      <c r="L108" s="51">
        <v>34575.230000000003</v>
      </c>
      <c r="M108" s="51">
        <v>22975.97</v>
      </c>
      <c r="N108" s="52">
        <v>28524.560000000001</v>
      </c>
      <c r="O108" s="51">
        <v>26839.279999999999</v>
      </c>
      <c r="P108" s="51">
        <v>38980.9</v>
      </c>
      <c r="Q108" s="52">
        <v>40449</v>
      </c>
      <c r="R108" s="221">
        <v>45000</v>
      </c>
      <c r="S108" s="156">
        <v>1.1125120522138989</v>
      </c>
      <c r="T108" s="654">
        <v>45000</v>
      </c>
      <c r="U108" s="655">
        <v>45000</v>
      </c>
    </row>
    <row r="109" spans="1:21" ht="13.5" customHeight="1" thickBot="1" x14ac:dyDescent="0.3">
      <c r="A109" s="814"/>
      <c r="B109" s="266">
        <v>640</v>
      </c>
      <c r="C109" s="64" t="s">
        <v>216</v>
      </c>
      <c r="D109" s="79"/>
      <c r="E109" s="79">
        <v>217951</v>
      </c>
      <c r="F109" s="79">
        <v>132776</v>
      </c>
      <c r="G109" s="79">
        <v>141830</v>
      </c>
      <c r="H109" s="79">
        <v>137000</v>
      </c>
      <c r="I109" s="64">
        <v>133070</v>
      </c>
      <c r="J109" s="79">
        <v>146453</v>
      </c>
      <c r="K109" s="79">
        <v>144534</v>
      </c>
      <c r="L109" s="224">
        <v>144534</v>
      </c>
      <c r="M109" s="224">
        <v>151477</v>
      </c>
      <c r="N109" s="33">
        <v>155372</v>
      </c>
      <c r="O109" s="32">
        <v>169631.84</v>
      </c>
      <c r="P109" s="32">
        <v>169220.52</v>
      </c>
      <c r="Q109" s="33">
        <v>193874</v>
      </c>
      <c r="R109" s="225">
        <v>173210</v>
      </c>
      <c r="S109" s="161">
        <v>0.89341531097516946</v>
      </c>
      <c r="T109" s="663">
        <v>178406</v>
      </c>
      <c r="U109" s="658">
        <v>183758</v>
      </c>
    </row>
    <row r="110" spans="1:21" ht="15.75" thickBot="1" x14ac:dyDescent="0.3">
      <c r="A110" s="163" t="s">
        <v>217</v>
      </c>
      <c r="B110" s="762" t="s">
        <v>218</v>
      </c>
      <c r="C110" s="761"/>
      <c r="D110" s="87">
        <f>D111</f>
        <v>10589</v>
      </c>
      <c r="E110" s="87">
        <f>E111</f>
        <v>11917</v>
      </c>
      <c r="F110" s="87">
        <f>F111</f>
        <v>11883</v>
      </c>
      <c r="G110" s="87">
        <f>G111</f>
        <v>4189</v>
      </c>
      <c r="H110" s="87">
        <v>5005</v>
      </c>
      <c r="I110" s="87">
        <f t="shared" ref="I110:R110" si="18">I111</f>
        <v>5041</v>
      </c>
      <c r="J110" s="87">
        <f t="shared" si="18"/>
        <v>5609</v>
      </c>
      <c r="K110" s="87">
        <f t="shared" si="18"/>
        <v>6003</v>
      </c>
      <c r="L110" s="88">
        <v>3745.53</v>
      </c>
      <c r="M110" s="88">
        <f t="shared" si="18"/>
        <v>5989.44</v>
      </c>
      <c r="N110" s="165">
        <f t="shared" si="18"/>
        <v>5966.9</v>
      </c>
      <c r="O110" s="166">
        <f t="shared" si="18"/>
        <v>6273.49</v>
      </c>
      <c r="P110" s="166">
        <f t="shared" si="18"/>
        <v>6274.93</v>
      </c>
      <c r="Q110" s="165">
        <f t="shared" si="18"/>
        <v>6000</v>
      </c>
      <c r="R110" s="165">
        <v>6000</v>
      </c>
      <c r="S110" s="193">
        <v>1</v>
      </c>
      <c r="T110" s="659">
        <v>6000</v>
      </c>
      <c r="U110" s="617">
        <v>6000</v>
      </c>
    </row>
    <row r="111" spans="1:21" ht="15.75" thickBot="1" x14ac:dyDescent="0.3">
      <c r="A111" s="311"/>
      <c r="B111" s="312"/>
      <c r="C111" s="97" t="s">
        <v>219</v>
      </c>
      <c r="D111" s="107">
        <v>10589</v>
      </c>
      <c r="E111" s="107">
        <v>11917</v>
      </c>
      <c r="F111" s="107">
        <v>11883</v>
      </c>
      <c r="G111" s="107">
        <v>4189</v>
      </c>
      <c r="H111" s="107">
        <v>5005</v>
      </c>
      <c r="I111" s="97">
        <v>5041</v>
      </c>
      <c r="J111" s="107">
        <v>5609</v>
      </c>
      <c r="K111" s="16">
        <v>6003</v>
      </c>
      <c r="L111" s="15">
        <v>3745.53</v>
      </c>
      <c r="M111" s="15">
        <v>5989.44</v>
      </c>
      <c r="N111" s="16">
        <v>5966.9</v>
      </c>
      <c r="O111" s="15">
        <v>6273.49</v>
      </c>
      <c r="P111" s="15">
        <v>6274.93</v>
      </c>
      <c r="Q111" s="16">
        <v>6000</v>
      </c>
      <c r="R111" s="210">
        <v>6000</v>
      </c>
      <c r="S111" s="167">
        <v>1</v>
      </c>
      <c r="T111" s="662">
        <v>6000</v>
      </c>
      <c r="U111" s="620">
        <v>6000</v>
      </c>
    </row>
    <row r="112" spans="1:21" ht="15.75" thickBot="1" x14ac:dyDescent="0.3">
      <c r="A112" s="240" t="s">
        <v>220</v>
      </c>
      <c r="B112" s="815" t="s">
        <v>221</v>
      </c>
      <c r="C112" s="773"/>
      <c r="D112" s="103">
        <f>D114</f>
        <v>0</v>
      </c>
      <c r="E112" s="103">
        <f>E114</f>
        <v>122817</v>
      </c>
      <c r="F112" s="103">
        <f>F114</f>
        <v>236905</v>
      </c>
      <c r="G112" s="103">
        <f>G114</f>
        <v>210760</v>
      </c>
      <c r="H112" s="103">
        <v>216000</v>
      </c>
      <c r="I112" s="103">
        <f t="shared" ref="I112:R112" si="19">I114</f>
        <v>173560</v>
      </c>
      <c r="J112" s="103">
        <f t="shared" si="19"/>
        <v>168880</v>
      </c>
      <c r="K112" s="103">
        <f t="shared" si="19"/>
        <v>168880</v>
      </c>
      <c r="L112" s="104">
        <v>166668</v>
      </c>
      <c r="M112" s="104">
        <f t="shared" si="19"/>
        <v>150364</v>
      </c>
      <c r="N112" s="242">
        <f t="shared" si="19"/>
        <v>136000</v>
      </c>
      <c r="O112" s="243">
        <f>O114+O113</f>
        <v>141246.73000000001</v>
      </c>
      <c r="P112" s="243">
        <f>P114+P113</f>
        <v>166152.71</v>
      </c>
      <c r="Q112" s="242">
        <f>Q114+Q113</f>
        <v>167000</v>
      </c>
      <c r="R112" s="242">
        <v>151229</v>
      </c>
      <c r="S112" s="193">
        <v>0.90556287425149695</v>
      </c>
      <c r="T112" s="659">
        <v>155766</v>
      </c>
      <c r="U112" s="617">
        <v>160439</v>
      </c>
    </row>
    <row r="113" spans="1:22" x14ac:dyDescent="0.25">
      <c r="A113" s="812"/>
      <c r="B113" s="313">
        <v>630</v>
      </c>
      <c r="C113" s="228" t="s">
        <v>222</v>
      </c>
      <c r="D113" s="303"/>
      <c r="E113" s="303"/>
      <c r="F113" s="303"/>
      <c r="G113" s="303"/>
      <c r="H113" s="303"/>
      <c r="I113" s="303"/>
      <c r="J113" s="303"/>
      <c r="K113" s="314"/>
      <c r="L113" s="20"/>
      <c r="M113" s="20"/>
      <c r="N113" s="150"/>
      <c r="O113" s="315">
        <v>3112.73</v>
      </c>
      <c r="P113" s="315"/>
      <c r="Q113" s="150"/>
      <c r="R113" s="150"/>
      <c r="S113" s="316">
        <v>0</v>
      </c>
      <c r="T113" s="676"/>
      <c r="U113" s="677"/>
    </row>
    <row r="114" spans="1:22" ht="15.75" thickBot="1" x14ac:dyDescent="0.3">
      <c r="A114" s="814"/>
      <c r="B114" s="222">
        <v>640</v>
      </c>
      <c r="C114" s="296" t="s">
        <v>223</v>
      </c>
      <c r="D114" s="79"/>
      <c r="E114" s="79">
        <v>122817</v>
      </c>
      <c r="F114" s="79">
        <v>236905</v>
      </c>
      <c r="G114" s="79">
        <v>210760</v>
      </c>
      <c r="H114" s="79">
        <v>216000</v>
      </c>
      <c r="I114" s="64">
        <v>173560</v>
      </c>
      <c r="J114" s="79">
        <v>168880</v>
      </c>
      <c r="K114" s="33">
        <v>168880</v>
      </c>
      <c r="L114" s="32">
        <v>166668</v>
      </c>
      <c r="M114" s="32">
        <v>150364</v>
      </c>
      <c r="N114" s="33">
        <v>136000</v>
      </c>
      <c r="O114" s="32">
        <v>138134</v>
      </c>
      <c r="P114" s="32">
        <v>166152.71</v>
      </c>
      <c r="Q114" s="33">
        <v>167000</v>
      </c>
      <c r="R114" s="33">
        <v>151229</v>
      </c>
      <c r="S114" s="226">
        <v>0.90556287425149695</v>
      </c>
      <c r="T114" s="666">
        <v>155766</v>
      </c>
      <c r="U114" s="667">
        <v>160439</v>
      </c>
    </row>
    <row r="115" spans="1:22" ht="15.75" thickBot="1" x14ac:dyDescent="0.3">
      <c r="A115" s="240" t="s">
        <v>224</v>
      </c>
      <c r="B115" s="815" t="s">
        <v>225</v>
      </c>
      <c r="C115" s="773"/>
      <c r="D115" s="103">
        <v>0</v>
      </c>
      <c r="E115" s="103">
        <v>56430</v>
      </c>
      <c r="F115" s="103">
        <v>359789</v>
      </c>
      <c r="G115" s="103">
        <v>312928</v>
      </c>
      <c r="H115" s="103">
        <v>336361</v>
      </c>
      <c r="I115" s="103">
        <f t="shared" ref="I115:R115" si="20">SUM(I116:I121)</f>
        <v>283963</v>
      </c>
      <c r="J115" s="103">
        <f t="shared" si="20"/>
        <v>347786</v>
      </c>
      <c r="K115" s="103">
        <f t="shared" si="20"/>
        <v>268221</v>
      </c>
      <c r="L115" s="103">
        <f t="shared" si="20"/>
        <v>263798.23</v>
      </c>
      <c r="M115" s="104">
        <f t="shared" si="20"/>
        <v>287887.32</v>
      </c>
      <c r="N115" s="242">
        <f>SUM(N116:N121)</f>
        <v>314491.48</v>
      </c>
      <c r="O115" s="243">
        <f>SUM(O116:O121)</f>
        <v>300556.48</v>
      </c>
      <c r="P115" s="243">
        <f>SUM(P116:P121)</f>
        <v>267198.25</v>
      </c>
      <c r="Q115" s="242">
        <f>SUM(Q116:Q121)</f>
        <v>332693</v>
      </c>
      <c r="R115" s="242">
        <v>323465</v>
      </c>
      <c r="S115" s="193">
        <v>0.97226271667873987</v>
      </c>
      <c r="T115" s="659">
        <v>323705</v>
      </c>
      <c r="U115" s="617">
        <v>323952</v>
      </c>
      <c r="V115" s="317"/>
    </row>
    <row r="116" spans="1:22" x14ac:dyDescent="0.25">
      <c r="A116" s="812"/>
      <c r="B116" s="188">
        <v>610</v>
      </c>
      <c r="C116" s="60" t="s">
        <v>129</v>
      </c>
      <c r="D116" s="61"/>
      <c r="E116" s="61"/>
      <c r="F116" s="61"/>
      <c r="G116" s="61"/>
      <c r="H116" s="61"/>
      <c r="I116" s="60">
        <v>264635</v>
      </c>
      <c r="J116" s="61">
        <v>24997</v>
      </c>
      <c r="K116" s="61">
        <v>24062</v>
      </c>
      <c r="L116" s="21">
        <v>22719.55</v>
      </c>
      <c r="M116" s="171">
        <v>28495.57</v>
      </c>
      <c r="N116" s="19">
        <v>28348.01</v>
      </c>
      <c r="O116" s="171">
        <v>31464.639999999999</v>
      </c>
      <c r="P116" s="171">
        <v>33530.71</v>
      </c>
      <c r="Q116" s="19">
        <v>44851</v>
      </c>
      <c r="R116" s="172">
        <v>40176</v>
      </c>
      <c r="S116" s="217">
        <v>0.89576598069162339</v>
      </c>
      <c r="T116" s="664">
        <v>40176</v>
      </c>
      <c r="U116" s="665">
        <v>40176</v>
      </c>
    </row>
    <row r="117" spans="1:22" x14ac:dyDescent="0.25">
      <c r="A117" s="813"/>
      <c r="B117" s="189">
        <v>620</v>
      </c>
      <c r="C117" s="62" t="s">
        <v>130</v>
      </c>
      <c r="D117" s="63"/>
      <c r="E117" s="63"/>
      <c r="F117" s="63"/>
      <c r="G117" s="63"/>
      <c r="H117" s="63"/>
      <c r="I117" s="62"/>
      <c r="J117" s="63">
        <v>9316</v>
      </c>
      <c r="K117" s="63">
        <v>8959</v>
      </c>
      <c r="L117" s="27">
        <v>9337.6200000000008</v>
      </c>
      <c r="M117" s="118">
        <v>10210.040000000001</v>
      </c>
      <c r="N117" s="25">
        <v>10765.88</v>
      </c>
      <c r="O117" s="118">
        <v>11782.59</v>
      </c>
      <c r="P117" s="118">
        <v>12285.58</v>
      </c>
      <c r="Q117" s="25">
        <v>16394</v>
      </c>
      <c r="R117" s="264">
        <v>14761</v>
      </c>
      <c r="S117" s="156">
        <v>0.90039038672685123</v>
      </c>
      <c r="T117" s="652">
        <v>14761</v>
      </c>
      <c r="U117" s="653">
        <v>14761</v>
      </c>
    </row>
    <row r="118" spans="1:22" x14ac:dyDescent="0.25">
      <c r="A118" s="813"/>
      <c r="B118" s="189">
        <v>630</v>
      </c>
      <c r="C118" s="62" t="s">
        <v>131</v>
      </c>
      <c r="D118" s="63"/>
      <c r="E118" s="63"/>
      <c r="F118" s="63"/>
      <c r="G118" s="63"/>
      <c r="H118" s="63"/>
      <c r="I118" s="62"/>
      <c r="J118" s="63">
        <v>291329</v>
      </c>
      <c r="K118" s="63">
        <f>212898</f>
        <v>212898</v>
      </c>
      <c r="L118" s="27">
        <v>204427.59</v>
      </c>
      <c r="M118" s="118">
        <v>218239.71</v>
      </c>
      <c r="N118" s="25">
        <v>254385.59</v>
      </c>
      <c r="O118" s="118">
        <v>246224.25</v>
      </c>
      <c r="P118" s="118">
        <v>219779.39</v>
      </c>
      <c r="Q118" s="25">
        <v>250248</v>
      </c>
      <c r="R118" s="264">
        <v>250250</v>
      </c>
      <c r="S118" s="156">
        <v>1.0000079920718647</v>
      </c>
      <c r="T118" s="652">
        <v>250250</v>
      </c>
      <c r="U118" s="653">
        <v>250250</v>
      </c>
    </row>
    <row r="119" spans="1:22" x14ac:dyDescent="0.25">
      <c r="A119" s="813"/>
      <c r="B119" s="152">
        <v>640</v>
      </c>
      <c r="C119" s="62" t="s">
        <v>132</v>
      </c>
      <c r="D119" s="63"/>
      <c r="E119" s="63"/>
      <c r="F119" s="63"/>
      <c r="G119" s="63"/>
      <c r="H119" s="63"/>
      <c r="I119" s="62"/>
      <c r="J119" s="63"/>
      <c r="K119" s="27">
        <v>158</v>
      </c>
      <c r="L119" s="27">
        <v>169.47</v>
      </c>
      <c r="M119" s="118"/>
      <c r="N119" s="25"/>
      <c r="O119" s="118"/>
      <c r="P119" s="118">
        <v>137.43</v>
      </c>
      <c r="Q119" s="25"/>
      <c r="R119" s="264"/>
      <c r="S119" s="156">
        <v>0</v>
      </c>
      <c r="T119" s="652"/>
      <c r="U119" s="653"/>
    </row>
    <row r="120" spans="1:22" hidden="1" x14ac:dyDescent="0.25">
      <c r="A120" s="813"/>
      <c r="B120" s="152"/>
      <c r="C120" s="62" t="s">
        <v>226</v>
      </c>
      <c r="D120" s="63"/>
      <c r="E120" s="63"/>
      <c r="F120" s="63"/>
      <c r="G120" s="63"/>
      <c r="H120" s="63"/>
      <c r="I120" s="62"/>
      <c r="J120" s="63"/>
      <c r="K120" s="27"/>
      <c r="L120" s="27"/>
      <c r="M120" s="118"/>
      <c r="N120" s="25"/>
      <c r="O120" s="118"/>
      <c r="P120" s="118"/>
      <c r="Q120" s="25"/>
      <c r="R120" s="318"/>
      <c r="S120" s="161">
        <v>0</v>
      </c>
      <c r="T120" s="663"/>
      <c r="U120" s="658"/>
    </row>
    <row r="121" spans="1:22" ht="15.75" thickBot="1" x14ac:dyDescent="0.3">
      <c r="A121" s="814"/>
      <c r="B121" s="190">
        <v>640</v>
      </c>
      <c r="C121" s="208" t="s">
        <v>223</v>
      </c>
      <c r="D121" s="159"/>
      <c r="E121" s="159">
        <v>56430</v>
      </c>
      <c r="F121" s="159">
        <v>66388</v>
      </c>
      <c r="G121" s="159">
        <v>33070</v>
      </c>
      <c r="H121" s="159">
        <v>34000</v>
      </c>
      <c r="I121" s="208">
        <v>19328</v>
      </c>
      <c r="J121" s="159">
        <v>22144</v>
      </c>
      <c r="K121" s="100">
        <v>22144</v>
      </c>
      <c r="L121" s="100">
        <v>27144</v>
      </c>
      <c r="M121" s="99">
        <v>30942</v>
      </c>
      <c r="N121" s="100">
        <v>20992</v>
      </c>
      <c r="O121" s="99">
        <v>11085</v>
      </c>
      <c r="P121" s="99">
        <v>1465.14</v>
      </c>
      <c r="Q121" s="100">
        <v>21200</v>
      </c>
      <c r="R121" s="225">
        <v>18278</v>
      </c>
      <c r="S121" s="226">
        <v>0.86216981132075476</v>
      </c>
      <c r="T121" s="666">
        <v>18518</v>
      </c>
      <c r="U121" s="667">
        <v>18765</v>
      </c>
    </row>
    <row r="122" spans="1:22" ht="15.75" thickBot="1" x14ac:dyDescent="0.3">
      <c r="A122" s="240" t="s">
        <v>227</v>
      </c>
      <c r="B122" s="815" t="s">
        <v>228</v>
      </c>
      <c r="C122" s="773"/>
      <c r="D122" s="103">
        <f t="shared" ref="D122:R122" si="21">SUM(D123:D126)</f>
        <v>398161</v>
      </c>
      <c r="E122" s="103">
        <f t="shared" si="21"/>
        <v>245269</v>
      </c>
      <c r="F122" s="103">
        <f t="shared" si="21"/>
        <v>266050</v>
      </c>
      <c r="G122" s="103">
        <f t="shared" si="21"/>
        <v>237941</v>
      </c>
      <c r="H122" s="103">
        <f t="shared" si="21"/>
        <v>273708</v>
      </c>
      <c r="I122" s="103">
        <f t="shared" si="21"/>
        <v>262675</v>
      </c>
      <c r="J122" s="103">
        <f t="shared" si="21"/>
        <v>162661</v>
      </c>
      <c r="K122" s="103">
        <f t="shared" si="21"/>
        <v>165913</v>
      </c>
      <c r="L122" s="104">
        <f t="shared" si="21"/>
        <v>173111</v>
      </c>
      <c r="M122" s="104">
        <f t="shared" si="21"/>
        <v>179007.07</v>
      </c>
      <c r="N122" s="242">
        <f t="shared" si="21"/>
        <v>207573.5</v>
      </c>
      <c r="O122" s="243">
        <f t="shared" si="21"/>
        <v>252852.5</v>
      </c>
      <c r="P122" s="243">
        <f>SUM(P123:P126)</f>
        <v>259830</v>
      </c>
      <c r="Q122" s="242">
        <f>SUM(Q123:Q126)</f>
        <v>341430</v>
      </c>
      <c r="R122" s="242">
        <v>352893</v>
      </c>
      <c r="S122" s="193">
        <v>1.0335734996924699</v>
      </c>
      <c r="T122" s="659">
        <v>345835</v>
      </c>
      <c r="U122" s="617">
        <v>348866</v>
      </c>
    </row>
    <row r="123" spans="1:22" x14ac:dyDescent="0.25">
      <c r="A123" s="809"/>
      <c r="B123" s="319"/>
      <c r="C123" s="60" t="s">
        <v>435</v>
      </c>
      <c r="D123" s="61">
        <v>373863</v>
      </c>
      <c r="E123" s="61">
        <v>211312</v>
      </c>
      <c r="F123" s="61">
        <v>220574</v>
      </c>
      <c r="G123" s="61">
        <v>190734</v>
      </c>
      <c r="H123" s="61">
        <v>216608</v>
      </c>
      <c r="I123" s="60">
        <v>202225</v>
      </c>
      <c r="J123" s="63">
        <v>118262</v>
      </c>
      <c r="K123" s="63">
        <v>116713</v>
      </c>
      <c r="L123" s="48">
        <v>116713</v>
      </c>
      <c r="M123" s="48">
        <v>132538</v>
      </c>
      <c r="N123" s="49">
        <v>117290</v>
      </c>
      <c r="O123" s="49">
        <v>150490</v>
      </c>
      <c r="P123" s="49">
        <v>157200</v>
      </c>
      <c r="Q123" s="49">
        <v>183960</v>
      </c>
      <c r="R123" s="248">
        <v>205423</v>
      </c>
      <c r="S123" s="151">
        <v>1.1166721026310067</v>
      </c>
      <c r="T123" s="650">
        <v>208365</v>
      </c>
      <c r="U123" s="651">
        <v>211396</v>
      </c>
    </row>
    <row r="124" spans="1:22" x14ac:dyDescent="0.25">
      <c r="A124" s="810"/>
      <c r="B124" s="320"/>
      <c r="C124" s="62" t="s">
        <v>229</v>
      </c>
      <c r="D124" s="63"/>
      <c r="E124" s="63"/>
      <c r="F124" s="63"/>
      <c r="G124" s="63"/>
      <c r="H124" s="63"/>
      <c r="I124" s="62"/>
      <c r="J124" s="63"/>
      <c r="K124" s="63"/>
      <c r="L124" s="26"/>
      <c r="M124" s="26">
        <v>3467.07</v>
      </c>
      <c r="N124" s="27">
        <v>50283.5</v>
      </c>
      <c r="O124" s="27">
        <v>101647</v>
      </c>
      <c r="P124" s="27">
        <v>53450</v>
      </c>
      <c r="Q124" s="27">
        <v>57470</v>
      </c>
      <c r="R124" s="153">
        <v>57470</v>
      </c>
      <c r="S124" s="156">
        <v>1</v>
      </c>
      <c r="T124" s="652">
        <v>57470</v>
      </c>
      <c r="U124" s="653">
        <v>57470</v>
      </c>
    </row>
    <row r="125" spans="1:22" x14ac:dyDescent="0.25">
      <c r="A125" s="810"/>
      <c r="B125" s="320"/>
      <c r="C125" s="62" t="s">
        <v>230</v>
      </c>
      <c r="D125" s="63"/>
      <c r="E125" s="63"/>
      <c r="F125" s="63"/>
      <c r="G125" s="63"/>
      <c r="H125" s="63"/>
      <c r="I125" s="62"/>
      <c r="J125" s="63"/>
      <c r="K125" s="63"/>
      <c r="L125" s="26"/>
      <c r="M125" s="26"/>
      <c r="N125" s="27"/>
      <c r="O125" s="27"/>
      <c r="P125" s="27"/>
      <c r="Q125" s="27">
        <v>20000</v>
      </c>
      <c r="R125" s="153">
        <v>10000</v>
      </c>
      <c r="S125" s="156">
        <v>0.5</v>
      </c>
      <c r="T125" s="663"/>
      <c r="U125" s="658"/>
    </row>
    <row r="126" spans="1:22" ht="15.75" thickBot="1" x14ac:dyDescent="0.3">
      <c r="A126" s="811"/>
      <c r="B126" s="321"/>
      <c r="C126" s="64" t="s">
        <v>231</v>
      </c>
      <c r="D126" s="79">
        <v>24298</v>
      </c>
      <c r="E126" s="79">
        <v>33957</v>
      </c>
      <c r="F126" s="79">
        <v>45476</v>
      </c>
      <c r="G126" s="79">
        <v>47207</v>
      </c>
      <c r="H126" s="79">
        <v>57100</v>
      </c>
      <c r="I126" s="64">
        <v>60450</v>
      </c>
      <c r="J126" s="63">
        <v>44399</v>
      </c>
      <c r="K126" s="63">
        <v>49200</v>
      </c>
      <c r="L126" s="51">
        <v>56398</v>
      </c>
      <c r="M126" s="51">
        <v>43002</v>
      </c>
      <c r="N126" s="52">
        <v>40000</v>
      </c>
      <c r="O126" s="52">
        <v>715.5</v>
      </c>
      <c r="P126" s="52">
        <f>102630-53450</f>
        <v>49180</v>
      </c>
      <c r="Q126" s="52">
        <v>80000</v>
      </c>
      <c r="R126" s="221">
        <v>80000</v>
      </c>
      <c r="S126" s="161">
        <v>1</v>
      </c>
      <c r="T126" s="663">
        <v>80000</v>
      </c>
      <c r="U126" s="658">
        <v>80000</v>
      </c>
    </row>
    <row r="127" spans="1:22" ht="15.75" thickBot="1" x14ac:dyDescent="0.3">
      <c r="A127" s="163" t="s">
        <v>232</v>
      </c>
      <c r="B127" s="762" t="s">
        <v>233</v>
      </c>
      <c r="C127" s="761"/>
      <c r="D127" s="87">
        <v>16298</v>
      </c>
      <c r="E127" s="87">
        <f>SUM(E128:E139)</f>
        <v>196674</v>
      </c>
      <c r="F127" s="87">
        <f>SUM(F128:F139)</f>
        <v>276704</v>
      </c>
      <c r="G127" s="87">
        <v>322185</v>
      </c>
      <c r="H127" s="87">
        <v>434860</v>
      </c>
      <c r="I127" s="87">
        <f>SUM(I128:I139)</f>
        <v>399432</v>
      </c>
      <c r="J127" s="87">
        <f>SUM(J128:J139)</f>
        <v>332348</v>
      </c>
      <c r="K127" s="87">
        <f>SUM(K128:K139)</f>
        <v>315787</v>
      </c>
      <c r="L127" s="88">
        <f t="shared" ref="L127:Q127" si="22">SUM(L128:L141)</f>
        <v>311192.31999999995</v>
      </c>
      <c r="M127" s="88">
        <f t="shared" si="22"/>
        <v>355810.5</v>
      </c>
      <c r="N127" s="165">
        <f t="shared" si="22"/>
        <v>384915.19</v>
      </c>
      <c r="O127" s="166">
        <f t="shared" si="22"/>
        <v>388070.83</v>
      </c>
      <c r="P127" s="166">
        <f t="shared" si="22"/>
        <v>361113.8</v>
      </c>
      <c r="Q127" s="165">
        <f t="shared" si="22"/>
        <v>406633</v>
      </c>
      <c r="R127" s="165">
        <v>384300</v>
      </c>
      <c r="S127" s="193">
        <v>0.94507824008381025</v>
      </c>
      <c r="T127" s="659">
        <v>380300</v>
      </c>
      <c r="U127" s="617">
        <v>380300</v>
      </c>
      <c r="V127" s="204"/>
    </row>
    <row r="128" spans="1:22" x14ac:dyDescent="0.25">
      <c r="A128" s="809"/>
      <c r="B128" s="322"/>
      <c r="C128" s="181" t="s">
        <v>234</v>
      </c>
      <c r="D128" s="323">
        <v>4913</v>
      </c>
      <c r="E128" s="323">
        <v>3850</v>
      </c>
      <c r="F128" s="323">
        <v>5112</v>
      </c>
      <c r="G128" s="323"/>
      <c r="H128" s="323"/>
      <c r="I128" s="181">
        <v>6756</v>
      </c>
      <c r="J128" s="323">
        <v>7114</v>
      </c>
      <c r="K128" s="61">
        <v>7113</v>
      </c>
      <c r="L128" s="21">
        <v>7438.6</v>
      </c>
      <c r="M128" s="20">
        <v>12903.29</v>
      </c>
      <c r="N128" s="21">
        <v>10157.040000000001</v>
      </c>
      <c r="O128" s="20">
        <v>15460.72</v>
      </c>
      <c r="P128" s="20">
        <v>9192</v>
      </c>
      <c r="Q128" s="21">
        <v>14300</v>
      </c>
      <c r="R128" s="150">
        <v>14300</v>
      </c>
      <c r="S128" s="151">
        <v>1</v>
      </c>
      <c r="T128" s="650">
        <v>14300</v>
      </c>
      <c r="U128" s="651">
        <v>14300</v>
      </c>
    </row>
    <row r="129" spans="1:28" x14ac:dyDescent="0.25">
      <c r="A129" s="810"/>
      <c r="B129" s="324"/>
      <c r="C129" s="183" t="s">
        <v>235</v>
      </c>
      <c r="D129" s="325"/>
      <c r="E129" s="325"/>
      <c r="F129" s="325"/>
      <c r="G129" s="325"/>
      <c r="H129" s="325"/>
      <c r="I129" s="326">
        <v>48971</v>
      </c>
      <c r="J129" s="325"/>
      <c r="K129" s="76"/>
      <c r="L129" s="49"/>
      <c r="M129" s="48"/>
      <c r="N129" s="49"/>
      <c r="O129" s="48"/>
      <c r="P129" s="48">
        <v>12970.5</v>
      </c>
      <c r="Q129" s="49">
        <v>0</v>
      </c>
      <c r="R129" s="248"/>
      <c r="S129" s="156">
        <v>0</v>
      </c>
      <c r="T129" s="654"/>
      <c r="U129" s="655"/>
    </row>
    <row r="130" spans="1:28" x14ac:dyDescent="0.25">
      <c r="A130" s="810"/>
      <c r="B130" s="324"/>
      <c r="C130" s="183" t="s">
        <v>236</v>
      </c>
      <c r="D130" s="325"/>
      <c r="E130" s="325"/>
      <c r="F130" s="325"/>
      <c r="G130" s="325"/>
      <c r="H130" s="325"/>
      <c r="I130" s="326">
        <v>24304</v>
      </c>
      <c r="J130" s="325">
        <v>10566</v>
      </c>
      <c r="K130" s="76">
        <v>3350</v>
      </c>
      <c r="L130" s="49">
        <v>4052</v>
      </c>
      <c r="M130" s="48">
        <v>10555.27</v>
      </c>
      <c r="N130" s="49"/>
      <c r="O130" s="48">
        <v>12040.65</v>
      </c>
      <c r="P130" s="48">
        <v>15000</v>
      </c>
      <c r="Q130" s="49">
        <v>42000</v>
      </c>
      <c r="R130" s="248">
        <v>20000</v>
      </c>
      <c r="S130" s="156">
        <v>0.47619047619047616</v>
      </c>
      <c r="T130" s="652">
        <v>15000</v>
      </c>
      <c r="U130" s="653">
        <v>15000</v>
      </c>
    </row>
    <row r="131" spans="1:28" x14ac:dyDescent="0.25">
      <c r="A131" s="810"/>
      <c r="B131" s="324"/>
      <c r="C131" s="183" t="s">
        <v>237</v>
      </c>
      <c r="D131" s="325"/>
      <c r="E131" s="325"/>
      <c r="F131" s="325"/>
      <c r="G131" s="325"/>
      <c r="H131" s="325"/>
      <c r="I131" s="326"/>
      <c r="J131" s="325"/>
      <c r="K131" s="76"/>
      <c r="L131" s="49"/>
      <c r="M131" s="48">
        <v>19000</v>
      </c>
      <c r="N131" s="49">
        <v>10407.57</v>
      </c>
      <c r="O131" s="48">
        <v>19000</v>
      </c>
      <c r="P131" s="48">
        <v>3083.2</v>
      </c>
      <c r="Q131" s="49">
        <v>7000</v>
      </c>
      <c r="R131" s="248">
        <v>7000</v>
      </c>
      <c r="S131" s="156">
        <v>1</v>
      </c>
      <c r="T131" s="652">
        <v>7000</v>
      </c>
      <c r="U131" s="653">
        <v>7000</v>
      </c>
      <c r="X131" s="327"/>
      <c r="Y131" s="327"/>
      <c r="Z131" s="327"/>
    </row>
    <row r="132" spans="1:28" x14ac:dyDescent="0.25">
      <c r="A132" s="810"/>
      <c r="B132" s="324"/>
      <c r="C132" s="183" t="s">
        <v>238</v>
      </c>
      <c r="D132" s="325"/>
      <c r="E132" s="325"/>
      <c r="F132" s="325"/>
      <c r="G132" s="325"/>
      <c r="H132" s="325"/>
      <c r="I132" s="326"/>
      <c r="J132" s="325"/>
      <c r="K132" s="76"/>
      <c r="L132" s="49"/>
      <c r="M132" s="48"/>
      <c r="N132" s="49">
        <v>15000</v>
      </c>
      <c r="O132" s="48">
        <v>2377</v>
      </c>
      <c r="P132" s="48">
        <v>11700</v>
      </c>
      <c r="Q132" s="49">
        <v>12000</v>
      </c>
      <c r="R132" s="248">
        <v>10000</v>
      </c>
      <c r="S132" s="156">
        <v>0.83333333333333337</v>
      </c>
      <c r="T132" s="652">
        <v>12000</v>
      </c>
      <c r="U132" s="653">
        <v>12000</v>
      </c>
      <c r="Y132" s="327"/>
    </row>
    <row r="133" spans="1:28" x14ac:dyDescent="0.25">
      <c r="A133" s="810"/>
      <c r="B133" s="328"/>
      <c r="C133" s="183" t="s">
        <v>434</v>
      </c>
      <c r="D133" s="154"/>
      <c r="E133" s="154">
        <v>7568</v>
      </c>
      <c r="F133" s="154">
        <v>15767</v>
      </c>
      <c r="G133" s="154">
        <v>15084</v>
      </c>
      <c r="H133" s="154"/>
      <c r="I133" s="183">
        <v>13552</v>
      </c>
      <c r="J133" s="154">
        <v>11060</v>
      </c>
      <c r="K133" s="63">
        <v>9650</v>
      </c>
      <c r="L133" s="27">
        <v>9100</v>
      </c>
      <c r="M133" s="26">
        <v>10889.5</v>
      </c>
      <c r="N133" s="27">
        <v>15000</v>
      </c>
      <c r="O133" s="26">
        <v>7950</v>
      </c>
      <c r="P133" s="26"/>
      <c r="Q133" s="27">
        <v>0</v>
      </c>
      <c r="R133" s="153">
        <v>4000</v>
      </c>
      <c r="S133" s="156">
        <v>0</v>
      </c>
      <c r="T133" s="652">
        <v>0</v>
      </c>
      <c r="U133" s="653">
        <v>0</v>
      </c>
    </row>
    <row r="134" spans="1:28" x14ac:dyDescent="0.25">
      <c r="A134" s="810"/>
      <c r="B134" s="328"/>
      <c r="C134" s="183" t="s">
        <v>239</v>
      </c>
      <c r="D134" s="154"/>
      <c r="E134" s="154"/>
      <c r="F134" s="154"/>
      <c r="G134" s="154"/>
      <c r="H134" s="154"/>
      <c r="I134" s="183"/>
      <c r="J134" s="154"/>
      <c r="K134" s="63"/>
      <c r="L134" s="27"/>
      <c r="M134" s="27"/>
      <c r="N134" s="27"/>
      <c r="O134" s="26">
        <v>10000</v>
      </c>
      <c r="P134" s="26">
        <v>5000</v>
      </c>
      <c r="Q134" s="27">
        <v>7000</v>
      </c>
      <c r="R134" s="153">
        <v>6000</v>
      </c>
      <c r="S134" s="156">
        <v>0.8571428571428571</v>
      </c>
      <c r="T134" s="652">
        <v>6000</v>
      </c>
      <c r="U134" s="653">
        <v>6000</v>
      </c>
      <c r="Y134" s="327"/>
      <c r="AA134" s="204"/>
      <c r="AB134" s="204"/>
    </row>
    <row r="135" spans="1:28" x14ac:dyDescent="0.25">
      <c r="A135" s="810"/>
      <c r="B135" s="328"/>
      <c r="C135" s="183" t="s">
        <v>240</v>
      </c>
      <c r="D135" s="154"/>
      <c r="E135" s="154"/>
      <c r="F135" s="154"/>
      <c r="G135" s="154"/>
      <c r="H135" s="154"/>
      <c r="I135" s="183"/>
      <c r="J135" s="154"/>
      <c r="K135" s="63"/>
      <c r="L135" s="27"/>
      <c r="M135" s="27"/>
      <c r="N135" s="27">
        <v>256.58</v>
      </c>
      <c r="O135" s="26">
        <v>4000</v>
      </c>
      <c r="P135" s="26">
        <v>6335</v>
      </c>
      <c r="Q135" s="27">
        <v>5000</v>
      </c>
      <c r="R135" s="153">
        <v>5000</v>
      </c>
      <c r="S135" s="156">
        <v>1</v>
      </c>
      <c r="T135" s="652">
        <v>8000</v>
      </c>
      <c r="U135" s="653">
        <v>8000</v>
      </c>
    </row>
    <row r="136" spans="1:28" x14ac:dyDescent="0.25">
      <c r="A136" s="810"/>
      <c r="B136" s="328"/>
      <c r="C136" s="183" t="s">
        <v>241</v>
      </c>
      <c r="D136" s="154"/>
      <c r="E136" s="154"/>
      <c r="F136" s="154"/>
      <c r="G136" s="154"/>
      <c r="H136" s="154"/>
      <c r="I136" s="183"/>
      <c r="J136" s="154"/>
      <c r="K136" s="63"/>
      <c r="L136" s="27"/>
      <c r="M136" s="27"/>
      <c r="N136" s="27">
        <v>4000</v>
      </c>
      <c r="O136" s="26">
        <v>1050</v>
      </c>
      <c r="P136" s="26">
        <v>42000.1</v>
      </c>
      <c r="Q136" s="27">
        <v>86465</v>
      </c>
      <c r="R136" s="153">
        <v>100433</v>
      </c>
      <c r="S136" s="156">
        <v>1.1615451338691956</v>
      </c>
      <c r="T136" s="652">
        <v>100433</v>
      </c>
      <c r="U136" s="653">
        <v>100433</v>
      </c>
    </row>
    <row r="137" spans="1:28" x14ac:dyDescent="0.25">
      <c r="A137" s="810"/>
      <c r="B137" s="328"/>
      <c r="C137" s="183" t="s">
        <v>242</v>
      </c>
      <c r="D137" s="154"/>
      <c r="E137" s="154">
        <v>58189</v>
      </c>
      <c r="F137" s="154">
        <v>75483</v>
      </c>
      <c r="G137" s="154">
        <v>91400</v>
      </c>
      <c r="H137" s="154"/>
      <c r="I137" s="183">
        <v>152242</v>
      </c>
      <c r="J137" s="154">
        <v>162681</v>
      </c>
      <c r="K137" s="63">
        <v>150333</v>
      </c>
      <c r="L137" s="27">
        <v>119218</v>
      </c>
      <c r="M137" s="26">
        <v>148153</v>
      </c>
      <c r="N137" s="27">
        <v>76969</v>
      </c>
      <c r="O137" s="26">
        <v>70558</v>
      </c>
      <c r="P137" s="26">
        <v>77400</v>
      </c>
      <c r="Q137" s="27">
        <v>90715</v>
      </c>
      <c r="R137" s="153">
        <v>98414</v>
      </c>
      <c r="S137" s="156">
        <v>1.0848701978724578</v>
      </c>
      <c r="T137" s="652">
        <v>98414</v>
      </c>
      <c r="U137" s="653">
        <v>98414</v>
      </c>
    </row>
    <row r="138" spans="1:28" x14ac:dyDescent="0.25">
      <c r="A138" s="810"/>
      <c r="B138" s="328"/>
      <c r="C138" s="183" t="s">
        <v>243</v>
      </c>
      <c r="D138" s="154"/>
      <c r="E138" s="154">
        <v>99250</v>
      </c>
      <c r="F138" s="154">
        <v>153754</v>
      </c>
      <c r="G138" s="154">
        <v>143286</v>
      </c>
      <c r="H138" s="154"/>
      <c r="I138" s="183">
        <v>86643</v>
      </c>
      <c r="J138" s="154">
        <v>82311</v>
      </c>
      <c r="K138" s="63">
        <v>93232</v>
      </c>
      <c r="L138" s="27">
        <v>109100</v>
      </c>
      <c r="M138" s="26">
        <v>88221</v>
      </c>
      <c r="N138" s="27">
        <v>81209</v>
      </c>
      <c r="O138" s="26">
        <v>72867</v>
      </c>
      <c r="P138" s="26"/>
      <c r="Q138" s="27">
        <v>28000</v>
      </c>
      <c r="R138" s="153">
        <v>0</v>
      </c>
      <c r="S138" s="156">
        <v>0</v>
      </c>
      <c r="T138" s="652">
        <v>0</v>
      </c>
      <c r="U138" s="653">
        <v>0</v>
      </c>
    </row>
    <row r="139" spans="1:28" x14ac:dyDescent="0.25">
      <c r="A139" s="810"/>
      <c r="B139" s="329"/>
      <c r="C139" s="62" t="s">
        <v>244</v>
      </c>
      <c r="D139" s="63"/>
      <c r="E139" s="63">
        <v>27817</v>
      </c>
      <c r="F139" s="63">
        <v>26588</v>
      </c>
      <c r="G139" s="63">
        <v>25790</v>
      </c>
      <c r="H139" s="63"/>
      <c r="I139" s="62">
        <v>66964</v>
      </c>
      <c r="J139" s="63">
        <v>58616</v>
      </c>
      <c r="K139" s="63">
        <v>52109</v>
      </c>
      <c r="L139" s="63">
        <v>49442</v>
      </c>
      <c r="M139" s="131">
        <v>49808</v>
      </c>
      <c r="N139" s="27">
        <v>60863</v>
      </c>
      <c r="O139" s="26">
        <v>64900</v>
      </c>
      <c r="P139" s="26">
        <v>67942</v>
      </c>
      <c r="Q139" s="27">
        <v>0</v>
      </c>
      <c r="R139" s="153">
        <v>0</v>
      </c>
      <c r="S139" s="156">
        <v>0</v>
      </c>
      <c r="T139" s="652">
        <v>0</v>
      </c>
      <c r="U139" s="653">
        <v>0</v>
      </c>
    </row>
    <row r="140" spans="1:28" x14ac:dyDescent="0.25">
      <c r="A140" s="810"/>
      <c r="B140" s="330"/>
      <c r="C140" s="65" t="s">
        <v>245</v>
      </c>
      <c r="D140" s="96"/>
      <c r="E140" s="96"/>
      <c r="F140" s="96"/>
      <c r="G140" s="96"/>
      <c r="H140" s="96"/>
      <c r="I140" s="65"/>
      <c r="J140" s="96"/>
      <c r="K140" s="96"/>
      <c r="L140" s="96">
        <v>12841.72</v>
      </c>
      <c r="M140" s="220">
        <v>16280.44</v>
      </c>
      <c r="N140" s="52">
        <v>18152</v>
      </c>
      <c r="O140" s="51">
        <v>24031</v>
      </c>
      <c r="P140" s="51">
        <v>24298</v>
      </c>
      <c r="Q140" s="52">
        <v>25498</v>
      </c>
      <c r="R140" s="221">
        <v>27498</v>
      </c>
      <c r="S140" s="156">
        <v>1.0784375245117264</v>
      </c>
      <c r="T140" s="652">
        <v>27498</v>
      </c>
      <c r="U140" s="653">
        <v>27498</v>
      </c>
      <c r="X140" s="204"/>
    </row>
    <row r="141" spans="1:28" ht="15.75" thickBot="1" x14ac:dyDescent="0.3">
      <c r="A141" s="811"/>
      <c r="B141" s="331"/>
      <c r="C141" s="64" t="s">
        <v>246</v>
      </c>
      <c r="D141" s="79"/>
      <c r="E141" s="79"/>
      <c r="F141" s="79"/>
      <c r="G141" s="79"/>
      <c r="H141" s="79"/>
      <c r="I141" s="64"/>
      <c r="J141" s="79"/>
      <c r="K141" s="79"/>
      <c r="L141" s="79"/>
      <c r="M141" s="79"/>
      <c r="N141" s="33">
        <v>92901</v>
      </c>
      <c r="O141" s="32">
        <v>83836.460000000006</v>
      </c>
      <c r="P141" s="32">
        <v>86193</v>
      </c>
      <c r="Q141" s="33">
        <v>88655</v>
      </c>
      <c r="R141" s="225">
        <v>91655</v>
      </c>
      <c r="S141" s="161">
        <v>1.0338390389712933</v>
      </c>
      <c r="T141" s="663">
        <v>91655</v>
      </c>
      <c r="U141" s="658">
        <v>91655</v>
      </c>
    </row>
    <row r="142" spans="1:28" ht="15.75" thickBot="1" x14ac:dyDescent="0.3">
      <c r="A142" s="286" t="s">
        <v>247</v>
      </c>
      <c r="B142" s="762" t="s">
        <v>248</v>
      </c>
      <c r="C142" s="761"/>
      <c r="D142" s="87">
        <f>SUM(D143:D144)</f>
        <v>0</v>
      </c>
      <c r="E142" s="87">
        <f>SUM(E143:E144)</f>
        <v>44944</v>
      </c>
      <c r="F142" s="87">
        <f>SUM(F143:F144)</f>
        <v>55765</v>
      </c>
      <c r="G142" s="87">
        <f>SUM(G143:G144)</f>
        <v>48780</v>
      </c>
      <c r="H142" s="87">
        <f t="shared" ref="H142:M142" si="23">SUM(H143:H144)</f>
        <v>52570</v>
      </c>
      <c r="I142" s="87">
        <f t="shared" si="23"/>
        <v>48691</v>
      </c>
      <c r="J142" s="87">
        <f t="shared" si="23"/>
        <v>46108</v>
      </c>
      <c r="K142" s="103">
        <f t="shared" si="23"/>
        <v>47470</v>
      </c>
      <c r="L142" s="104">
        <f t="shared" si="23"/>
        <v>48334.8</v>
      </c>
      <c r="M142" s="104">
        <f t="shared" si="23"/>
        <v>45244.800000000003</v>
      </c>
      <c r="N142" s="242">
        <f>SUM(N143:N144)</f>
        <v>51246.22</v>
      </c>
      <c r="O142" s="243">
        <f>SUM(O143:O144)</f>
        <v>45133.520000000004</v>
      </c>
      <c r="P142" s="243">
        <f>SUM(P143:P144)</f>
        <v>47476.15</v>
      </c>
      <c r="Q142" s="242">
        <f>SUM(Q143:Q144)</f>
        <v>51114</v>
      </c>
      <c r="R142" s="242">
        <v>58836</v>
      </c>
      <c r="S142" s="193">
        <v>1.1510740697264936</v>
      </c>
      <c r="T142" s="659">
        <v>58836</v>
      </c>
      <c r="U142" s="617">
        <v>58836</v>
      </c>
    </row>
    <row r="143" spans="1:28" x14ac:dyDescent="0.25">
      <c r="A143" s="809"/>
      <c r="B143" s="188">
        <v>630</v>
      </c>
      <c r="C143" s="181" t="s">
        <v>249</v>
      </c>
      <c r="D143" s="323"/>
      <c r="E143" s="323">
        <v>36679</v>
      </c>
      <c r="F143" s="323">
        <v>46803</v>
      </c>
      <c r="G143" s="323">
        <v>39726</v>
      </c>
      <c r="H143" s="323">
        <v>43006</v>
      </c>
      <c r="I143" s="181">
        <v>38795</v>
      </c>
      <c r="J143" s="181">
        <v>36600</v>
      </c>
      <c r="K143" s="61">
        <v>37500</v>
      </c>
      <c r="L143" s="20">
        <v>40890</v>
      </c>
      <c r="M143" s="20">
        <v>37800</v>
      </c>
      <c r="N143" s="21">
        <v>39750</v>
      </c>
      <c r="O143" s="20">
        <v>33550</v>
      </c>
      <c r="P143" s="20">
        <v>37036.15</v>
      </c>
      <c r="Q143" s="21">
        <v>38864</v>
      </c>
      <c r="R143" s="21">
        <v>39836</v>
      </c>
      <c r="S143" s="151">
        <v>1.0250102923013586</v>
      </c>
      <c r="T143" s="650">
        <v>39836</v>
      </c>
      <c r="U143" s="651">
        <v>39836</v>
      </c>
    </row>
    <row r="144" spans="1:28" ht="15.75" thickBot="1" x14ac:dyDescent="0.3">
      <c r="A144" s="811"/>
      <c r="B144" s="266">
        <v>630</v>
      </c>
      <c r="C144" s="296" t="s">
        <v>250</v>
      </c>
      <c r="D144" s="298"/>
      <c r="E144" s="298">
        <v>8265</v>
      </c>
      <c r="F144" s="298">
        <v>8962</v>
      </c>
      <c r="G144" s="298">
        <v>9054</v>
      </c>
      <c r="H144" s="298">
        <v>9564</v>
      </c>
      <c r="I144" s="296">
        <v>9896</v>
      </c>
      <c r="J144" s="296">
        <v>9508</v>
      </c>
      <c r="K144" s="79">
        <v>9970</v>
      </c>
      <c r="L144" s="32">
        <v>7444.8</v>
      </c>
      <c r="M144" s="32">
        <v>7444.8</v>
      </c>
      <c r="N144" s="33">
        <v>11496.22</v>
      </c>
      <c r="O144" s="32">
        <v>11583.52</v>
      </c>
      <c r="P144" s="32">
        <v>10440</v>
      </c>
      <c r="Q144" s="33">
        <v>12250</v>
      </c>
      <c r="R144" s="225">
        <v>19000</v>
      </c>
      <c r="S144" s="161">
        <v>1.5510204081632653</v>
      </c>
      <c r="T144" s="663">
        <v>19000</v>
      </c>
      <c r="U144" s="658">
        <v>19000</v>
      </c>
    </row>
    <row r="145" spans="1:24" ht="15.75" thickBot="1" x14ac:dyDescent="0.3">
      <c r="A145" s="240" t="s">
        <v>251</v>
      </c>
      <c r="B145" s="762" t="s">
        <v>252</v>
      </c>
      <c r="C145" s="761"/>
      <c r="D145" s="87">
        <v>6008</v>
      </c>
      <c r="E145" s="87">
        <f>SUM(E146:E149)</f>
        <v>6373</v>
      </c>
      <c r="F145" s="87">
        <f>SUM(F146:F149)</f>
        <v>76413</v>
      </c>
      <c r="G145" s="87">
        <f>SUM(G146:G149)</f>
        <v>50904</v>
      </c>
      <c r="H145" s="87">
        <v>43602</v>
      </c>
      <c r="I145" s="87">
        <f t="shared" ref="I145:R145" si="24">SUM(I146:I149)</f>
        <v>80402</v>
      </c>
      <c r="J145" s="87">
        <f t="shared" si="24"/>
        <v>65201</v>
      </c>
      <c r="K145" s="87">
        <f t="shared" si="24"/>
        <v>82763</v>
      </c>
      <c r="L145" s="88">
        <f t="shared" si="24"/>
        <v>85325.96</v>
      </c>
      <c r="M145" s="88">
        <f t="shared" si="24"/>
        <v>98428.31</v>
      </c>
      <c r="N145" s="165">
        <f t="shared" si="24"/>
        <v>91637.849999999991</v>
      </c>
      <c r="O145" s="165">
        <f t="shared" si="24"/>
        <v>98282.1</v>
      </c>
      <c r="P145" s="165">
        <f t="shared" si="24"/>
        <v>86440.45</v>
      </c>
      <c r="Q145" s="165">
        <f t="shared" si="24"/>
        <v>134365</v>
      </c>
      <c r="R145" s="165">
        <v>101290</v>
      </c>
      <c r="S145" s="193">
        <v>0.75384214639228964</v>
      </c>
      <c r="T145" s="659">
        <v>104284</v>
      </c>
      <c r="U145" s="617">
        <v>107368</v>
      </c>
    </row>
    <row r="146" spans="1:24" x14ac:dyDescent="0.25">
      <c r="A146" s="824"/>
      <c r="B146" s="826"/>
      <c r="C146" s="62" t="s">
        <v>253</v>
      </c>
      <c r="D146" s="63"/>
      <c r="E146" s="63">
        <v>5842</v>
      </c>
      <c r="F146" s="63">
        <v>6108</v>
      </c>
      <c r="G146" s="63">
        <v>13480</v>
      </c>
      <c r="H146" s="63">
        <v>6009</v>
      </c>
      <c r="I146" s="62">
        <v>6900</v>
      </c>
      <c r="J146" s="154">
        <v>3787</v>
      </c>
      <c r="K146" s="63">
        <v>3290</v>
      </c>
      <c r="L146" s="48">
        <v>1483</v>
      </c>
      <c r="M146" s="48">
        <v>9142.9500000000007</v>
      </c>
      <c r="N146" s="49">
        <v>5153.01</v>
      </c>
      <c r="O146" s="49"/>
      <c r="P146" s="49"/>
      <c r="Q146" s="49">
        <v>2500</v>
      </c>
      <c r="R146" s="248"/>
      <c r="S146" s="151">
        <v>0</v>
      </c>
      <c r="T146" s="670"/>
      <c r="U146" s="671"/>
    </row>
    <row r="147" spans="1:24" x14ac:dyDescent="0.25">
      <c r="A147" s="824"/>
      <c r="B147" s="827"/>
      <c r="C147" s="62" t="s">
        <v>97</v>
      </c>
      <c r="D147" s="63"/>
      <c r="E147" s="63"/>
      <c r="F147" s="63"/>
      <c r="G147" s="63"/>
      <c r="H147" s="63"/>
      <c r="I147" s="62"/>
      <c r="J147" s="154"/>
      <c r="K147" s="63"/>
      <c r="L147" s="48"/>
      <c r="M147" s="48"/>
      <c r="N147" s="49"/>
      <c r="O147" s="48">
        <v>4985.1000000000004</v>
      </c>
      <c r="P147" s="48">
        <v>14458.009999999998</v>
      </c>
      <c r="Q147" s="49">
        <v>18830</v>
      </c>
      <c r="R147" s="248"/>
      <c r="S147" s="151">
        <v>0</v>
      </c>
      <c r="T147" s="670"/>
      <c r="U147" s="671"/>
    </row>
    <row r="148" spans="1:24" x14ac:dyDescent="0.25">
      <c r="A148" s="824"/>
      <c r="B148" s="827"/>
      <c r="C148" s="62" t="s">
        <v>254</v>
      </c>
      <c r="D148" s="63"/>
      <c r="E148" s="63">
        <v>0</v>
      </c>
      <c r="F148" s="63">
        <v>66388</v>
      </c>
      <c r="G148" s="63">
        <v>33390</v>
      </c>
      <c r="H148" s="63">
        <v>32749</v>
      </c>
      <c r="I148" s="62">
        <v>70000</v>
      </c>
      <c r="J148" s="154">
        <v>59118</v>
      </c>
      <c r="K148" s="63">
        <v>75103</v>
      </c>
      <c r="L148" s="26">
        <v>81056.960000000006</v>
      </c>
      <c r="M148" s="26">
        <v>86285.36</v>
      </c>
      <c r="N148" s="27">
        <v>5874.72</v>
      </c>
      <c r="O148" s="26">
        <v>90485</v>
      </c>
      <c r="P148" s="26">
        <v>71812.44</v>
      </c>
      <c r="Q148" s="27">
        <v>110035</v>
      </c>
      <c r="R148" s="153">
        <v>99790</v>
      </c>
      <c r="S148" s="156">
        <v>0.90689326123506153</v>
      </c>
      <c r="T148" s="652">
        <v>102784</v>
      </c>
      <c r="U148" s="653">
        <v>105868</v>
      </c>
    </row>
    <row r="149" spans="1:24" ht="15.75" thickBot="1" x14ac:dyDescent="0.3">
      <c r="A149" s="825"/>
      <c r="B149" s="828"/>
      <c r="C149" s="64" t="s">
        <v>255</v>
      </c>
      <c r="D149" s="79"/>
      <c r="E149" s="79">
        <v>531</v>
      </c>
      <c r="F149" s="79">
        <v>3917</v>
      </c>
      <c r="G149" s="79">
        <v>4034</v>
      </c>
      <c r="H149" s="79">
        <v>796</v>
      </c>
      <c r="I149" s="64">
        <v>3502</v>
      </c>
      <c r="J149" s="298">
        <v>2296</v>
      </c>
      <c r="K149" s="79">
        <v>4370</v>
      </c>
      <c r="L149" s="32">
        <v>2786</v>
      </c>
      <c r="M149" s="32">
        <v>3000</v>
      </c>
      <c r="N149" s="33">
        <v>80610.12</v>
      </c>
      <c r="O149" s="32">
        <v>2812</v>
      </c>
      <c r="P149" s="32">
        <v>170</v>
      </c>
      <c r="Q149" s="33">
        <v>3000</v>
      </c>
      <c r="R149" s="33">
        <v>1500</v>
      </c>
      <c r="S149" s="681">
        <v>0.5</v>
      </c>
      <c r="T149" s="666">
        <v>1500</v>
      </c>
      <c r="U149" s="667">
        <v>1500</v>
      </c>
    </row>
    <row r="150" spans="1:24" ht="15.75" thickBot="1" x14ac:dyDescent="0.3">
      <c r="A150" s="163" t="s">
        <v>256</v>
      </c>
      <c r="B150" s="762" t="s">
        <v>257</v>
      </c>
      <c r="C150" s="761"/>
      <c r="D150" s="87">
        <v>2960832</v>
      </c>
      <c r="E150" s="87">
        <v>3369814</v>
      </c>
      <c r="F150" s="87">
        <v>3780057</v>
      </c>
      <c r="G150" s="87">
        <v>4405952.43</v>
      </c>
      <c r="H150" s="87">
        <v>4455752</v>
      </c>
      <c r="I150" s="87">
        <f t="shared" ref="I150:R150" si="25">I151+I156</f>
        <v>4609033</v>
      </c>
      <c r="J150" s="87">
        <f t="shared" si="25"/>
        <v>4840194</v>
      </c>
      <c r="K150" s="87">
        <f t="shared" si="25"/>
        <v>4773475</v>
      </c>
      <c r="L150" s="88">
        <f>L151+L156</f>
        <v>4944992.8499999996</v>
      </c>
      <c r="M150" s="88">
        <f t="shared" si="25"/>
        <v>5255422.8499999996</v>
      </c>
      <c r="N150" s="165">
        <f t="shared" si="25"/>
        <v>5401219.4500000002</v>
      </c>
      <c r="O150" s="166">
        <f>O151+O156</f>
        <v>5606281.4399999995</v>
      </c>
      <c r="P150" s="166">
        <f>P151+P156</f>
        <v>5915004.5199999996</v>
      </c>
      <c r="Q150" s="165">
        <f>Q151+Q156</f>
        <v>6336761</v>
      </c>
      <c r="R150" s="165">
        <v>6199347</v>
      </c>
      <c r="S150" s="193">
        <v>0.9783147888960938</v>
      </c>
      <c r="T150" s="659">
        <v>6227105</v>
      </c>
      <c r="U150" s="617">
        <v>6227105</v>
      </c>
    </row>
    <row r="151" spans="1:24" ht="15.75" thickBot="1" x14ac:dyDescent="0.3">
      <c r="A151" s="829"/>
      <c r="B151" s="830" t="s">
        <v>258</v>
      </c>
      <c r="C151" s="831"/>
      <c r="D151" s="83">
        <v>29177</v>
      </c>
      <c r="E151" s="83">
        <v>27518</v>
      </c>
      <c r="F151" s="83">
        <v>28447</v>
      </c>
      <c r="G151" s="83">
        <v>30677</v>
      </c>
      <c r="H151" s="83">
        <v>31410</v>
      </c>
      <c r="I151" s="83">
        <f t="shared" ref="I151:R151" si="26">SUM(I152:I154)</f>
        <v>41249</v>
      </c>
      <c r="J151" s="83">
        <f t="shared" si="26"/>
        <v>38808</v>
      </c>
      <c r="K151" s="83">
        <f t="shared" si="26"/>
        <v>36313</v>
      </c>
      <c r="L151" s="84">
        <f>SUM(L152:L154)</f>
        <v>35493.83</v>
      </c>
      <c r="M151" s="84">
        <f>SUM(M152:M155)</f>
        <v>51463.890000000007</v>
      </c>
      <c r="N151" s="332">
        <f t="shared" si="26"/>
        <v>56202.630000000005</v>
      </c>
      <c r="O151" s="333">
        <f>SUM(O152:O154)</f>
        <v>54280.090000000004</v>
      </c>
      <c r="P151" s="333">
        <f>SUM(P152:P155)</f>
        <v>61314.87</v>
      </c>
      <c r="Q151" s="332">
        <f>SUM(Q152:Q155)</f>
        <v>62974</v>
      </c>
      <c r="R151" s="332">
        <v>63447</v>
      </c>
      <c r="S151" s="193">
        <v>1.0075110363006956</v>
      </c>
      <c r="T151" s="659">
        <v>63447</v>
      </c>
      <c r="U151" s="617">
        <v>63447</v>
      </c>
    </row>
    <row r="152" spans="1:24" x14ac:dyDescent="0.25">
      <c r="A152" s="824"/>
      <c r="B152" s="310">
        <v>610</v>
      </c>
      <c r="C152" s="94" t="s">
        <v>129</v>
      </c>
      <c r="D152" s="203"/>
      <c r="E152" s="203">
        <v>18854</v>
      </c>
      <c r="F152" s="203">
        <v>18290</v>
      </c>
      <c r="G152" s="203">
        <v>19464</v>
      </c>
      <c r="H152" s="203">
        <v>22248</v>
      </c>
      <c r="I152" s="186">
        <v>29541</v>
      </c>
      <c r="J152" s="154">
        <v>26330</v>
      </c>
      <c r="K152" s="63">
        <v>25388</v>
      </c>
      <c r="L152" s="203">
        <v>24578.53</v>
      </c>
      <c r="M152" s="334">
        <v>33902.800000000003</v>
      </c>
      <c r="N152" s="335">
        <v>34953.550000000003</v>
      </c>
      <c r="O152" s="336">
        <v>37117.040000000001</v>
      </c>
      <c r="P152" s="336">
        <v>39049.72</v>
      </c>
      <c r="Q152" s="335">
        <v>43354</v>
      </c>
      <c r="R152" s="337">
        <v>43704</v>
      </c>
      <c r="S152" s="151">
        <v>1.0080730728421829</v>
      </c>
      <c r="T152" s="650">
        <v>43704</v>
      </c>
      <c r="U152" s="651">
        <v>43704</v>
      </c>
    </row>
    <row r="153" spans="1:24" x14ac:dyDescent="0.25">
      <c r="A153" s="824"/>
      <c r="B153" s="189">
        <v>620</v>
      </c>
      <c r="C153" s="62" t="s">
        <v>130</v>
      </c>
      <c r="D153" s="63"/>
      <c r="E153" s="63">
        <v>6473</v>
      </c>
      <c r="F153" s="63">
        <v>6340</v>
      </c>
      <c r="G153" s="63">
        <v>6869</v>
      </c>
      <c r="H153" s="63">
        <v>6877</v>
      </c>
      <c r="I153" s="62">
        <v>9575</v>
      </c>
      <c r="J153" s="154">
        <v>9735</v>
      </c>
      <c r="K153" s="63">
        <v>9358</v>
      </c>
      <c r="L153" s="63">
        <v>9719.7999999999993</v>
      </c>
      <c r="M153" s="338">
        <v>11551.79</v>
      </c>
      <c r="N153" s="133">
        <v>12736.3</v>
      </c>
      <c r="O153" s="134">
        <v>13736.32</v>
      </c>
      <c r="P153" s="134">
        <v>15439.53</v>
      </c>
      <c r="Q153" s="133">
        <v>15620</v>
      </c>
      <c r="R153" s="339">
        <v>15743</v>
      </c>
      <c r="S153" s="156">
        <v>1.0078745198463508</v>
      </c>
      <c r="T153" s="652">
        <v>15743</v>
      </c>
      <c r="U153" s="653">
        <v>15743</v>
      </c>
    </row>
    <row r="154" spans="1:24" ht="15.75" thickBot="1" x14ac:dyDescent="0.3">
      <c r="A154" s="824"/>
      <c r="B154" s="152">
        <v>630</v>
      </c>
      <c r="C154" s="62" t="s">
        <v>131</v>
      </c>
      <c r="D154" s="79"/>
      <c r="E154" s="79">
        <v>2191</v>
      </c>
      <c r="F154" s="79">
        <v>3817</v>
      </c>
      <c r="G154" s="79">
        <v>4344</v>
      </c>
      <c r="H154" s="79">
        <v>2285</v>
      </c>
      <c r="I154" s="64">
        <v>2133</v>
      </c>
      <c r="J154" s="154">
        <v>2743</v>
      </c>
      <c r="K154" s="63">
        <v>1567</v>
      </c>
      <c r="L154" s="63">
        <v>1195.5</v>
      </c>
      <c r="M154" s="131">
        <v>1127.3</v>
      </c>
      <c r="N154" s="27">
        <v>8512.7800000000007</v>
      </c>
      <c r="O154" s="26">
        <v>3426.73</v>
      </c>
      <c r="P154" s="26">
        <v>3125.62</v>
      </c>
      <c r="Q154" s="27">
        <v>4000</v>
      </c>
      <c r="R154" s="153">
        <v>4000</v>
      </c>
      <c r="S154" s="156">
        <v>1</v>
      </c>
      <c r="T154" s="652">
        <v>4000</v>
      </c>
      <c r="U154" s="653">
        <v>4000</v>
      </c>
    </row>
    <row r="155" spans="1:24" ht="15.75" thickBot="1" x14ac:dyDescent="0.3">
      <c r="A155" s="824"/>
      <c r="B155" s="739">
        <v>640</v>
      </c>
      <c r="C155" s="236" t="s">
        <v>132</v>
      </c>
      <c r="D155" s="159"/>
      <c r="E155" s="159"/>
      <c r="F155" s="159"/>
      <c r="G155" s="159"/>
      <c r="H155" s="159"/>
      <c r="I155" s="208"/>
      <c r="J155" s="191"/>
      <c r="K155" s="203"/>
      <c r="L155" s="203"/>
      <c r="M155" s="301">
        <v>4882</v>
      </c>
      <c r="N155" s="93"/>
      <c r="O155" s="92"/>
      <c r="P155" s="92">
        <v>3700</v>
      </c>
      <c r="Q155" s="93"/>
      <c r="R155" s="187"/>
      <c r="S155" s="198">
        <v>0</v>
      </c>
      <c r="T155" s="660"/>
      <c r="U155" s="661"/>
    </row>
    <row r="156" spans="1:24" ht="15.75" thickBot="1" x14ac:dyDescent="0.3">
      <c r="A156" s="824"/>
      <c r="B156" s="832" t="s">
        <v>259</v>
      </c>
      <c r="C156" s="833"/>
      <c r="D156" s="57">
        <v>2931655</v>
      </c>
      <c r="E156" s="57">
        <v>3342296</v>
      </c>
      <c r="F156" s="57">
        <v>3751610</v>
      </c>
      <c r="G156" s="57">
        <v>4375275.43</v>
      </c>
      <c r="H156" s="57">
        <v>4424342</v>
      </c>
      <c r="I156" s="57">
        <f t="shared" ref="I156:U156" si="27">SUM(I157:I165)</f>
        <v>4567784</v>
      </c>
      <c r="J156" s="57">
        <f t="shared" si="27"/>
        <v>4801386</v>
      </c>
      <c r="K156" s="57">
        <f t="shared" si="27"/>
        <v>4737162</v>
      </c>
      <c r="L156" s="58">
        <f t="shared" si="27"/>
        <v>4909499.0199999996</v>
      </c>
      <c r="M156" s="58">
        <f>SUM(M157:M165)</f>
        <v>5203958.96</v>
      </c>
      <c r="N156" s="340">
        <f>SUM(N157:N165)</f>
        <v>5345016.82</v>
      </c>
      <c r="O156" s="341">
        <f>SUM(O157:O165)</f>
        <v>5552001.3499999996</v>
      </c>
      <c r="P156" s="341">
        <f>SUM(P157:P165)</f>
        <v>5853689.6499999994</v>
      </c>
      <c r="Q156" s="340">
        <f>SUM(Q157:Q165)</f>
        <v>6273787</v>
      </c>
      <c r="R156" s="340">
        <v>6135900</v>
      </c>
      <c r="S156" s="193">
        <v>0.97802172754669547</v>
      </c>
      <c r="T156" s="662">
        <v>6163658</v>
      </c>
      <c r="U156" s="620">
        <v>6163658</v>
      </c>
    </row>
    <row r="157" spans="1:24" x14ac:dyDescent="0.25">
      <c r="A157" s="824"/>
      <c r="B157" s="826"/>
      <c r="C157" s="94" t="s">
        <v>260</v>
      </c>
      <c r="D157" s="76">
        <v>1541725</v>
      </c>
      <c r="E157" s="76">
        <v>1718084</v>
      </c>
      <c r="F157" s="76">
        <v>1793999</v>
      </c>
      <c r="G157" s="76">
        <v>1958942</v>
      </c>
      <c r="H157" s="76">
        <v>2084677</v>
      </c>
      <c r="I157" s="94">
        <v>2039732</v>
      </c>
      <c r="J157" s="76">
        <v>2241882</v>
      </c>
      <c r="K157" s="76">
        <v>2385291</v>
      </c>
      <c r="L157" s="48">
        <v>2363727.67</v>
      </c>
      <c r="M157" s="48">
        <v>2385302.7000000002</v>
      </c>
      <c r="N157" s="49">
        <v>2457964.41</v>
      </c>
      <c r="O157" s="48">
        <v>2387323.0499999998</v>
      </c>
      <c r="P157" s="48">
        <v>2377088.1</v>
      </c>
      <c r="Q157" s="49">
        <v>2539197</v>
      </c>
      <c r="R157" s="248">
        <v>2393643</v>
      </c>
      <c r="S157" s="151">
        <v>0.94267715344654235</v>
      </c>
      <c r="T157" s="650">
        <v>2393643</v>
      </c>
      <c r="U157" s="651">
        <v>2393643</v>
      </c>
    </row>
    <row r="158" spans="1:24" x14ac:dyDescent="0.25">
      <c r="A158" s="824"/>
      <c r="B158" s="827"/>
      <c r="C158" s="62" t="s">
        <v>261</v>
      </c>
      <c r="D158" s="63">
        <v>1389930</v>
      </c>
      <c r="E158" s="63">
        <v>1591682</v>
      </c>
      <c r="F158" s="63">
        <v>1867423</v>
      </c>
      <c r="G158" s="63">
        <v>2134669.4300000002</v>
      </c>
      <c r="H158" s="63">
        <v>2069302</v>
      </c>
      <c r="I158" s="62">
        <v>2182809</v>
      </c>
      <c r="J158" s="63">
        <v>2169532</v>
      </c>
      <c r="K158" s="63">
        <v>1972245</v>
      </c>
      <c r="L158" s="26">
        <v>2097007.99</v>
      </c>
      <c r="M158" s="26">
        <v>2239643.29</v>
      </c>
      <c r="N158" s="27">
        <v>2410623.65</v>
      </c>
      <c r="O158" s="26">
        <v>2546291.14</v>
      </c>
      <c r="P158" s="26">
        <v>2674051.77</v>
      </c>
      <c r="Q158" s="27">
        <v>2879857</v>
      </c>
      <c r="R158" s="153">
        <v>3025359</v>
      </c>
      <c r="S158" s="156">
        <v>1.0505240364365314</v>
      </c>
      <c r="T158" s="652">
        <v>3068117</v>
      </c>
      <c r="U158" s="653">
        <v>3068117</v>
      </c>
      <c r="X158" s="204"/>
    </row>
    <row r="159" spans="1:24" x14ac:dyDescent="0.25">
      <c r="A159" s="824"/>
      <c r="B159" s="827"/>
      <c r="C159" s="65" t="s">
        <v>262</v>
      </c>
      <c r="D159" s="96"/>
      <c r="E159" s="96"/>
      <c r="F159" s="96"/>
      <c r="G159" s="96"/>
      <c r="H159" s="96"/>
      <c r="I159" s="65"/>
      <c r="J159" s="65"/>
      <c r="K159" s="96">
        <v>6822</v>
      </c>
      <c r="L159" s="51">
        <v>58464.77</v>
      </c>
      <c r="M159" s="51">
        <v>145561.9699999993</v>
      </c>
      <c r="N159" s="52">
        <v>13019.76</v>
      </c>
      <c r="O159" s="51">
        <v>88405.36</v>
      </c>
      <c r="P159" s="51">
        <v>106886.92</v>
      </c>
      <c r="Q159" s="52"/>
      <c r="R159" s="221"/>
      <c r="S159" s="156">
        <v>0</v>
      </c>
      <c r="T159" s="652"/>
      <c r="U159" s="653"/>
    </row>
    <row r="160" spans="1:24" x14ac:dyDescent="0.25">
      <c r="A160" s="824"/>
      <c r="B160" s="827"/>
      <c r="C160" s="65" t="s">
        <v>263</v>
      </c>
      <c r="D160" s="96"/>
      <c r="E160" s="96"/>
      <c r="F160" s="96"/>
      <c r="G160" s="96"/>
      <c r="H160" s="96"/>
      <c r="I160" s="65">
        <v>11276</v>
      </c>
      <c r="J160" s="65">
        <v>23184</v>
      </c>
      <c r="K160" s="96">
        <v>0</v>
      </c>
      <c r="L160" s="51">
        <v>4779.37</v>
      </c>
      <c r="M160" s="51">
        <v>0</v>
      </c>
      <c r="N160" s="52">
        <v>0</v>
      </c>
      <c r="O160" s="51"/>
      <c r="P160" s="51">
        <v>10000</v>
      </c>
      <c r="Q160" s="52"/>
      <c r="R160" s="221"/>
      <c r="S160" s="156">
        <v>0</v>
      </c>
      <c r="T160" s="652"/>
      <c r="U160" s="653"/>
    </row>
    <row r="161" spans="1:21" x14ac:dyDescent="0.25">
      <c r="A161" s="824"/>
      <c r="B161" s="827"/>
      <c r="C161" s="65" t="s">
        <v>64</v>
      </c>
      <c r="D161" s="96"/>
      <c r="E161" s="96"/>
      <c r="F161" s="96"/>
      <c r="G161" s="96"/>
      <c r="H161" s="96"/>
      <c r="I161" s="65"/>
      <c r="J161" s="65"/>
      <c r="K161" s="96"/>
      <c r="L161" s="51"/>
      <c r="M161" s="51"/>
      <c r="N161" s="52"/>
      <c r="O161" s="51"/>
      <c r="P161" s="51">
        <v>208274.06</v>
      </c>
      <c r="Q161" s="52">
        <v>202930</v>
      </c>
      <c r="R161" s="221">
        <v>0</v>
      </c>
      <c r="S161" s="156">
        <v>0</v>
      </c>
      <c r="T161" s="652">
        <v>0</v>
      </c>
      <c r="U161" s="653">
        <v>0</v>
      </c>
    </row>
    <row r="162" spans="1:21" x14ac:dyDescent="0.25">
      <c r="A162" s="824"/>
      <c r="B162" s="827"/>
      <c r="C162" s="65" t="s">
        <v>264</v>
      </c>
      <c r="D162" s="96"/>
      <c r="E162" s="96"/>
      <c r="F162" s="96"/>
      <c r="G162" s="96"/>
      <c r="H162" s="96">
        <v>2568</v>
      </c>
      <c r="I162" s="65">
        <v>2134</v>
      </c>
      <c r="J162" s="65"/>
      <c r="K162" s="96">
        <v>0</v>
      </c>
      <c r="L162" s="51">
        <v>240.97</v>
      </c>
      <c r="M162" s="51">
        <v>0</v>
      </c>
      <c r="N162" s="52">
        <v>0</v>
      </c>
      <c r="O162" s="51"/>
      <c r="P162" s="51">
        <v>4600</v>
      </c>
      <c r="Q162" s="52"/>
      <c r="R162" s="221">
        <v>15000</v>
      </c>
      <c r="S162" s="156">
        <v>0</v>
      </c>
      <c r="T162" s="652"/>
      <c r="U162" s="653"/>
    </row>
    <row r="163" spans="1:21" x14ac:dyDescent="0.25">
      <c r="A163" s="824"/>
      <c r="B163" s="827"/>
      <c r="C163" s="65" t="s">
        <v>265</v>
      </c>
      <c r="D163" s="96"/>
      <c r="E163" s="96"/>
      <c r="F163" s="96"/>
      <c r="G163" s="96"/>
      <c r="H163" s="96"/>
      <c r="I163" s="65"/>
      <c r="J163" s="65"/>
      <c r="K163" s="96"/>
      <c r="L163" s="51">
        <v>8661.25</v>
      </c>
      <c r="M163" s="51"/>
      <c r="N163" s="52">
        <v>0</v>
      </c>
      <c r="O163" s="51"/>
      <c r="P163" s="51"/>
      <c r="Q163" s="52"/>
      <c r="R163" s="221"/>
      <c r="S163" s="156">
        <v>0</v>
      </c>
      <c r="T163" s="652"/>
      <c r="U163" s="653"/>
    </row>
    <row r="164" spans="1:21" x14ac:dyDescent="0.25">
      <c r="A164" s="824"/>
      <c r="B164" s="827"/>
      <c r="C164" s="65" t="s">
        <v>103</v>
      </c>
      <c r="D164" s="96"/>
      <c r="E164" s="96"/>
      <c r="F164" s="96"/>
      <c r="G164" s="96"/>
      <c r="H164" s="96">
        <v>2166</v>
      </c>
      <c r="I164" s="65">
        <v>10924</v>
      </c>
      <c r="J164" s="65">
        <v>33868</v>
      </c>
      <c r="K164" s="96">
        <v>0</v>
      </c>
      <c r="L164" s="51"/>
      <c r="M164" s="51"/>
      <c r="N164" s="52">
        <v>0</v>
      </c>
      <c r="O164" s="51">
        <v>415.8</v>
      </c>
      <c r="P164" s="51">
        <v>2494.8000000000002</v>
      </c>
      <c r="Q164" s="52">
        <v>0</v>
      </c>
      <c r="R164" s="221">
        <v>0</v>
      </c>
      <c r="S164" s="156">
        <v>0</v>
      </c>
      <c r="T164" s="652"/>
      <c r="U164" s="653"/>
    </row>
    <row r="165" spans="1:21" ht="15.75" thickBot="1" x14ac:dyDescent="0.3">
      <c r="A165" s="825"/>
      <c r="B165" s="828"/>
      <c r="C165" s="64" t="s">
        <v>266</v>
      </c>
      <c r="D165" s="79"/>
      <c r="E165" s="79">
        <v>32530</v>
      </c>
      <c r="F165" s="79">
        <v>90188</v>
      </c>
      <c r="G165" s="79">
        <v>281664</v>
      </c>
      <c r="H165" s="79">
        <v>265629</v>
      </c>
      <c r="I165" s="64">
        <v>320909</v>
      </c>
      <c r="J165" s="64">
        <v>332920</v>
      </c>
      <c r="K165" s="79">
        <v>372804</v>
      </c>
      <c r="L165" s="32">
        <v>376617</v>
      </c>
      <c r="M165" s="32">
        <v>433451</v>
      </c>
      <c r="N165" s="33">
        <v>463409</v>
      </c>
      <c r="O165" s="32">
        <v>529566</v>
      </c>
      <c r="P165" s="32">
        <v>470294</v>
      </c>
      <c r="Q165" s="33">
        <v>651803</v>
      </c>
      <c r="R165" s="225">
        <v>701898</v>
      </c>
      <c r="S165" s="161">
        <v>1.0768560439273829</v>
      </c>
      <c r="T165" s="663">
        <v>701898</v>
      </c>
      <c r="U165" s="658">
        <v>701898</v>
      </c>
    </row>
    <row r="166" spans="1:21" ht="15.75" hidden="1" thickBot="1" x14ac:dyDescent="0.3">
      <c r="A166" s="342" t="s">
        <v>267</v>
      </c>
      <c r="B166" s="762" t="s">
        <v>268</v>
      </c>
      <c r="C166" s="761"/>
      <c r="D166" s="87">
        <v>14672</v>
      </c>
      <c r="E166" s="87">
        <v>18356</v>
      </c>
      <c r="F166" s="87">
        <v>24962</v>
      </c>
      <c r="G166" s="87">
        <v>26012</v>
      </c>
      <c r="H166" s="87">
        <v>24167</v>
      </c>
      <c r="I166" s="87">
        <f t="shared" ref="I166:N166" si="28">SUM(I167:I170)</f>
        <v>21978</v>
      </c>
      <c r="J166" s="87">
        <f t="shared" si="28"/>
        <v>26182</v>
      </c>
      <c r="K166" s="87">
        <f t="shared" si="28"/>
        <v>16605</v>
      </c>
      <c r="L166" s="88">
        <f t="shared" si="28"/>
        <v>19312.66</v>
      </c>
      <c r="M166" s="88">
        <f t="shared" si="28"/>
        <v>17232.5</v>
      </c>
      <c r="N166" s="165">
        <f t="shared" si="28"/>
        <v>19393.890000000003</v>
      </c>
      <c r="O166" s="165">
        <f>SUM(O167:O169)</f>
        <v>0</v>
      </c>
      <c r="P166" s="165">
        <f>SUM(P167:P169)</f>
        <v>0</v>
      </c>
      <c r="Q166" s="165">
        <f>SUM(Q167:Q169)</f>
        <v>0</v>
      </c>
      <c r="R166" s="165">
        <v>0</v>
      </c>
      <c r="S166" s="167">
        <v>0</v>
      </c>
      <c r="T166" s="678">
        <v>0</v>
      </c>
      <c r="U166" s="657">
        <v>0</v>
      </c>
    </row>
    <row r="167" spans="1:21" ht="15.75" hidden="1" thickBot="1" x14ac:dyDescent="0.3">
      <c r="A167" s="838"/>
      <c r="B167" s="343">
        <v>610</v>
      </c>
      <c r="C167" s="94" t="s">
        <v>129</v>
      </c>
      <c r="D167" s="76"/>
      <c r="E167" s="76">
        <v>11817</v>
      </c>
      <c r="F167" s="76">
        <v>16331</v>
      </c>
      <c r="G167" s="76">
        <v>16188</v>
      </c>
      <c r="H167" s="76">
        <v>16639</v>
      </c>
      <c r="I167" s="76">
        <v>14808</v>
      </c>
      <c r="J167" s="76">
        <v>14984</v>
      </c>
      <c r="K167" s="76">
        <v>11095</v>
      </c>
      <c r="L167" s="48">
        <v>11946.75</v>
      </c>
      <c r="M167" s="48">
        <v>12156.96</v>
      </c>
      <c r="N167" s="49">
        <v>13480.65</v>
      </c>
      <c r="O167" s="49"/>
      <c r="P167" s="49"/>
      <c r="Q167" s="49"/>
      <c r="R167" s="248">
        <v>0</v>
      </c>
      <c r="S167" s="151">
        <v>0</v>
      </c>
      <c r="T167" s="650">
        <v>0</v>
      </c>
      <c r="U167" s="651">
        <v>0</v>
      </c>
    </row>
    <row r="168" spans="1:21" ht="15.75" hidden="1" thickBot="1" x14ac:dyDescent="0.3">
      <c r="A168" s="839"/>
      <c r="B168" s="152">
        <v>620</v>
      </c>
      <c r="C168" s="62" t="s">
        <v>130</v>
      </c>
      <c r="D168" s="63"/>
      <c r="E168" s="63">
        <v>3983</v>
      </c>
      <c r="F168" s="63">
        <v>5610</v>
      </c>
      <c r="G168" s="63">
        <v>5689</v>
      </c>
      <c r="H168" s="63">
        <v>5822</v>
      </c>
      <c r="I168" s="63">
        <v>5320</v>
      </c>
      <c r="J168" s="63">
        <v>5972</v>
      </c>
      <c r="K168" s="63">
        <v>4227</v>
      </c>
      <c r="L168" s="26">
        <v>4902.95</v>
      </c>
      <c r="M168" s="26">
        <v>3941.03</v>
      </c>
      <c r="N168" s="27">
        <v>4701.62</v>
      </c>
      <c r="O168" s="27"/>
      <c r="P168" s="27"/>
      <c r="Q168" s="27"/>
      <c r="R168" s="153">
        <v>0</v>
      </c>
      <c r="S168" s="156">
        <v>0</v>
      </c>
      <c r="T168" s="652">
        <v>0</v>
      </c>
      <c r="U168" s="653">
        <v>0</v>
      </c>
    </row>
    <row r="169" spans="1:21" ht="15.75" hidden="1" thickBot="1" x14ac:dyDescent="0.3">
      <c r="A169" s="839"/>
      <c r="B169" s="152">
        <v>630</v>
      </c>
      <c r="C169" s="62" t="s">
        <v>131</v>
      </c>
      <c r="D169" s="63"/>
      <c r="E169" s="63">
        <v>2556</v>
      </c>
      <c r="F169" s="63">
        <v>3021</v>
      </c>
      <c r="G169" s="63">
        <v>4135</v>
      </c>
      <c r="H169" s="63">
        <v>1706</v>
      </c>
      <c r="I169" s="63">
        <f>1591+259</f>
        <v>1850</v>
      </c>
      <c r="J169" s="63">
        <v>1495</v>
      </c>
      <c r="K169" s="63">
        <v>1200</v>
      </c>
      <c r="L169" s="26">
        <v>931.46</v>
      </c>
      <c r="M169" s="26">
        <v>1055.02</v>
      </c>
      <c r="N169" s="27">
        <v>1132.97</v>
      </c>
      <c r="O169" s="27"/>
      <c r="P169" s="27"/>
      <c r="Q169" s="27"/>
      <c r="R169" s="153">
        <v>0</v>
      </c>
      <c r="S169" s="156">
        <v>0</v>
      </c>
      <c r="T169" s="652">
        <v>0</v>
      </c>
      <c r="U169" s="653">
        <v>0</v>
      </c>
    </row>
    <row r="170" spans="1:21" ht="15.75" hidden="1" thickBot="1" x14ac:dyDescent="0.3">
      <c r="A170" s="840"/>
      <c r="B170" s="222">
        <v>640</v>
      </c>
      <c r="C170" s="64" t="s">
        <v>269</v>
      </c>
      <c r="D170" s="79"/>
      <c r="E170" s="79"/>
      <c r="F170" s="79"/>
      <c r="G170" s="79"/>
      <c r="H170" s="79"/>
      <c r="I170" s="79"/>
      <c r="J170" s="79">
        <v>3731</v>
      </c>
      <c r="K170" s="203">
        <v>83</v>
      </c>
      <c r="L170" s="92">
        <v>1531.5</v>
      </c>
      <c r="M170" s="92">
        <v>79.489999999999995</v>
      </c>
      <c r="N170" s="93">
        <v>78.650000000000006</v>
      </c>
      <c r="O170" s="93"/>
      <c r="P170" s="93"/>
      <c r="Q170" s="93"/>
      <c r="R170" s="187"/>
      <c r="S170" s="161">
        <v>0</v>
      </c>
      <c r="T170" s="663"/>
      <c r="U170" s="658"/>
    </row>
    <row r="171" spans="1:21" ht="15.75" thickBot="1" x14ac:dyDescent="0.3">
      <c r="A171" s="163" t="s">
        <v>270</v>
      </c>
      <c r="B171" s="762" t="s">
        <v>271</v>
      </c>
      <c r="C171" s="761"/>
      <c r="D171" s="87">
        <v>42988</v>
      </c>
      <c r="E171" s="87">
        <v>41924</v>
      </c>
      <c r="F171" s="87">
        <v>49127</v>
      </c>
      <c r="G171" s="87">
        <v>48507</v>
      </c>
      <c r="H171" s="87">
        <v>53865</v>
      </c>
      <c r="I171" s="87">
        <f t="shared" ref="I171:R171" si="29">I172+I179+I178</f>
        <v>59113.2</v>
      </c>
      <c r="J171" s="87">
        <f t="shared" si="29"/>
        <v>51352</v>
      </c>
      <c r="K171" s="87">
        <f t="shared" si="29"/>
        <v>57413</v>
      </c>
      <c r="L171" s="88">
        <f>L172+L179+L178</f>
        <v>142019.73000000001</v>
      </c>
      <c r="M171" s="88">
        <f t="shared" si="29"/>
        <v>67235.890000000014</v>
      </c>
      <c r="N171" s="165">
        <f>N172+N179+N178</f>
        <v>59484.65</v>
      </c>
      <c r="O171" s="166">
        <f>O172+O179+O178</f>
        <v>64756.130000000005</v>
      </c>
      <c r="P171" s="165">
        <f>P172+P179+P178</f>
        <v>109958.24</v>
      </c>
      <c r="Q171" s="165">
        <f>Q172+Q179+Q178</f>
        <v>119420</v>
      </c>
      <c r="R171" s="165">
        <v>120610</v>
      </c>
      <c r="S171" s="193">
        <v>1.0099648300117234</v>
      </c>
      <c r="T171" s="659">
        <v>120610</v>
      </c>
      <c r="U171" s="617">
        <v>120610</v>
      </c>
    </row>
    <row r="172" spans="1:21" ht="15.75" thickBot="1" x14ac:dyDescent="0.3">
      <c r="A172" s="829"/>
      <c r="B172" s="830" t="s">
        <v>272</v>
      </c>
      <c r="C172" s="831"/>
      <c r="D172" s="83">
        <v>39801</v>
      </c>
      <c r="E172" s="83">
        <v>41194</v>
      </c>
      <c r="F172" s="83">
        <v>47169</v>
      </c>
      <c r="G172" s="83">
        <v>47600</v>
      </c>
      <c r="H172" s="83">
        <v>53724</v>
      </c>
      <c r="I172" s="83">
        <f>SUM(I173:I175)</f>
        <v>56208.2</v>
      </c>
      <c r="J172" s="83">
        <f>SUM(J173:J175)</f>
        <v>47897</v>
      </c>
      <c r="K172" s="83">
        <f>SUM(K173:K176)</f>
        <v>54913</v>
      </c>
      <c r="L172" s="84">
        <f>SUM(L173:L176)</f>
        <v>59991.65</v>
      </c>
      <c r="M172" s="84">
        <f>SUM(M173:M176)</f>
        <v>64735.890000000007</v>
      </c>
      <c r="N172" s="332">
        <f>SUM(N173:N176)</f>
        <v>54463.6</v>
      </c>
      <c r="O172" s="333">
        <f>SUM(O173:O176)</f>
        <v>60460.66</v>
      </c>
      <c r="P172" s="332">
        <f>SUM(P173:P178)</f>
        <v>105530.11</v>
      </c>
      <c r="Q172" s="332">
        <f>SUM(Q173:Q178)</f>
        <v>114420</v>
      </c>
      <c r="R172" s="332">
        <v>115610</v>
      </c>
      <c r="S172" s="193">
        <v>1.010400279671386</v>
      </c>
      <c r="T172" s="659">
        <v>115610</v>
      </c>
      <c r="U172" s="617">
        <v>115610</v>
      </c>
    </row>
    <row r="173" spans="1:21" x14ac:dyDescent="0.25">
      <c r="A173" s="824"/>
      <c r="B173" s="310">
        <v>610</v>
      </c>
      <c r="C173" s="94" t="s">
        <v>129</v>
      </c>
      <c r="D173" s="76"/>
      <c r="E173" s="76">
        <v>22141</v>
      </c>
      <c r="F173" s="76">
        <v>25294</v>
      </c>
      <c r="G173" s="76">
        <v>27320</v>
      </c>
      <c r="H173" s="76">
        <v>30945</v>
      </c>
      <c r="I173" s="76">
        <v>30403</v>
      </c>
      <c r="J173" s="76">
        <v>28630</v>
      </c>
      <c r="K173" s="76">
        <v>28741</v>
      </c>
      <c r="L173" s="48">
        <v>31950.86</v>
      </c>
      <c r="M173" s="48">
        <v>36896.54</v>
      </c>
      <c r="N173" s="49">
        <v>32643.72</v>
      </c>
      <c r="O173" s="48">
        <v>34750.01</v>
      </c>
      <c r="P173" s="48">
        <v>39563.769999999997</v>
      </c>
      <c r="Q173" s="49">
        <v>50340</v>
      </c>
      <c r="R173" s="248">
        <v>51222</v>
      </c>
      <c r="S173" s="151">
        <v>1.0175208581644815</v>
      </c>
      <c r="T173" s="650">
        <v>51222</v>
      </c>
      <c r="U173" s="651">
        <v>51222</v>
      </c>
    </row>
    <row r="174" spans="1:21" x14ac:dyDescent="0.25">
      <c r="A174" s="824"/>
      <c r="B174" s="189">
        <v>620</v>
      </c>
      <c r="C174" s="62" t="s">
        <v>130</v>
      </c>
      <c r="D174" s="63"/>
      <c r="E174" s="63">
        <v>8265</v>
      </c>
      <c r="F174" s="63">
        <v>9427</v>
      </c>
      <c r="G174" s="63">
        <v>10234</v>
      </c>
      <c r="H174" s="63">
        <v>11482</v>
      </c>
      <c r="I174" s="63">
        <f>11947-(14.4+22.4+180)</f>
        <v>11730.2</v>
      </c>
      <c r="J174" s="63">
        <v>10691</v>
      </c>
      <c r="K174" s="63">
        <v>10646</v>
      </c>
      <c r="L174" s="26">
        <v>12860.64</v>
      </c>
      <c r="M174" s="26">
        <v>12687.37</v>
      </c>
      <c r="N174" s="27">
        <v>12446.38</v>
      </c>
      <c r="O174" s="26">
        <v>13294.12</v>
      </c>
      <c r="P174" s="26">
        <v>14895.57</v>
      </c>
      <c r="Q174" s="27">
        <v>18530</v>
      </c>
      <c r="R174" s="153">
        <v>18838</v>
      </c>
      <c r="S174" s="156">
        <v>1.0166216945493793</v>
      </c>
      <c r="T174" s="652">
        <v>18838</v>
      </c>
      <c r="U174" s="653">
        <v>18838</v>
      </c>
    </row>
    <row r="175" spans="1:21" x14ac:dyDescent="0.25">
      <c r="A175" s="824"/>
      <c r="B175" s="300">
        <v>630</v>
      </c>
      <c r="C175" s="65" t="s">
        <v>131</v>
      </c>
      <c r="D175" s="63"/>
      <c r="E175" s="63">
        <v>10788</v>
      </c>
      <c r="F175" s="63">
        <v>12448</v>
      </c>
      <c r="G175" s="63">
        <v>10046</v>
      </c>
      <c r="H175" s="63">
        <v>11297</v>
      </c>
      <c r="I175" s="63">
        <f>16682-(2550+28+110)+81</f>
        <v>14075</v>
      </c>
      <c r="J175" s="63">
        <f>11880-3455+151</f>
        <v>8576</v>
      </c>
      <c r="K175" s="63">
        <v>15451</v>
      </c>
      <c r="L175" s="131">
        <v>15180.15</v>
      </c>
      <c r="M175" s="131">
        <v>15023.18</v>
      </c>
      <c r="N175" s="27">
        <v>9257.17</v>
      </c>
      <c r="O175" s="26">
        <v>12173.76</v>
      </c>
      <c r="P175" s="26">
        <v>13915.91</v>
      </c>
      <c r="Q175" s="27">
        <v>13550</v>
      </c>
      <c r="R175" s="153">
        <v>13550</v>
      </c>
      <c r="S175" s="156">
        <v>1</v>
      </c>
      <c r="T175" s="652">
        <v>13550</v>
      </c>
      <c r="U175" s="653">
        <v>13550</v>
      </c>
    </row>
    <row r="176" spans="1:21" x14ac:dyDescent="0.25">
      <c r="A176" s="824"/>
      <c r="B176" s="152">
        <v>640</v>
      </c>
      <c r="C176" s="183" t="s">
        <v>132</v>
      </c>
      <c r="D176" s="154"/>
      <c r="E176" s="154"/>
      <c r="F176" s="154"/>
      <c r="G176" s="154"/>
      <c r="H176" s="154"/>
      <c r="I176" s="63"/>
      <c r="J176" s="63"/>
      <c r="K176" s="63">
        <v>75</v>
      </c>
      <c r="L176" s="27"/>
      <c r="M176" s="26">
        <v>128.80000000000001</v>
      </c>
      <c r="N176" s="27">
        <v>116.33</v>
      </c>
      <c r="O176" s="26">
        <v>242.77</v>
      </c>
      <c r="P176" s="26">
        <v>133.86000000000001</v>
      </c>
      <c r="Q176" s="27"/>
      <c r="R176" s="153"/>
      <c r="S176" s="156">
        <v>0</v>
      </c>
      <c r="T176" s="654"/>
      <c r="U176" s="655"/>
    </row>
    <row r="177" spans="1:21" ht="15.75" thickBot="1" x14ac:dyDescent="0.3">
      <c r="A177" s="824"/>
      <c r="B177" s="222">
        <v>630</v>
      </c>
      <c r="C177" s="296" t="s">
        <v>63</v>
      </c>
      <c r="D177" s="298"/>
      <c r="E177" s="298"/>
      <c r="F177" s="298"/>
      <c r="G177" s="298"/>
      <c r="H177" s="298"/>
      <c r="I177" s="79"/>
      <c r="J177" s="79"/>
      <c r="K177" s="79"/>
      <c r="L177" s="33"/>
      <c r="M177" s="32"/>
      <c r="N177" s="33"/>
      <c r="O177" s="32"/>
      <c r="P177" s="32">
        <v>37021</v>
      </c>
      <c r="Q177" s="33">
        <v>32000</v>
      </c>
      <c r="R177" s="225">
        <v>32000</v>
      </c>
      <c r="S177" s="226">
        <v>1</v>
      </c>
      <c r="T177" s="666">
        <v>32000</v>
      </c>
      <c r="U177" s="667">
        <v>32000</v>
      </c>
    </row>
    <row r="178" spans="1:21" ht="15.75" hidden="1" thickBot="1" x14ac:dyDescent="0.3">
      <c r="A178" s="824"/>
      <c r="B178" s="312">
        <v>630</v>
      </c>
      <c r="C178" s="236" t="s">
        <v>111</v>
      </c>
      <c r="D178" s="294"/>
      <c r="E178" s="294"/>
      <c r="F178" s="294"/>
      <c r="G178" s="294"/>
      <c r="H178" s="294"/>
      <c r="I178" s="344"/>
      <c r="J178" s="344"/>
      <c r="K178" s="79"/>
      <c r="L178" s="99">
        <v>82028.08</v>
      </c>
      <c r="M178" s="100"/>
      <c r="N178" s="100"/>
      <c r="O178" s="99"/>
      <c r="P178" s="99"/>
      <c r="Q178" s="100"/>
      <c r="R178" s="160"/>
      <c r="S178" s="167">
        <v>0</v>
      </c>
      <c r="T178" s="672"/>
      <c r="U178" s="673"/>
    </row>
    <row r="179" spans="1:21" ht="15.75" thickBot="1" x14ac:dyDescent="0.3">
      <c r="A179" s="824"/>
      <c r="B179" s="832" t="s">
        <v>273</v>
      </c>
      <c r="C179" s="833"/>
      <c r="D179" s="345">
        <v>3187</v>
      </c>
      <c r="E179" s="345">
        <v>730</v>
      </c>
      <c r="F179" s="345">
        <v>1958</v>
      </c>
      <c r="G179" s="345">
        <v>907</v>
      </c>
      <c r="H179" s="345">
        <v>141</v>
      </c>
      <c r="I179" s="344">
        <f t="shared" ref="I179:U179" si="30">I180</f>
        <v>2905</v>
      </c>
      <c r="J179" s="344">
        <f t="shared" si="30"/>
        <v>3455</v>
      </c>
      <c r="K179" s="344">
        <f t="shared" si="30"/>
        <v>2500</v>
      </c>
      <c r="L179" s="344">
        <v>0</v>
      </c>
      <c r="M179" s="346">
        <f t="shared" si="30"/>
        <v>2500</v>
      </c>
      <c r="N179" s="344">
        <f t="shared" si="30"/>
        <v>5021.05</v>
      </c>
      <c r="O179" s="346">
        <f t="shared" si="30"/>
        <v>4295.47</v>
      </c>
      <c r="P179" s="346">
        <f t="shared" si="30"/>
        <v>4428.13</v>
      </c>
      <c r="Q179" s="344">
        <f t="shared" si="30"/>
        <v>5000</v>
      </c>
      <c r="R179" s="347">
        <v>5000</v>
      </c>
      <c r="S179" s="193">
        <v>1</v>
      </c>
      <c r="T179" s="659">
        <v>5000</v>
      </c>
      <c r="U179" s="617">
        <v>5000</v>
      </c>
    </row>
    <row r="180" spans="1:21" ht="15.75" thickBot="1" x14ac:dyDescent="0.3">
      <c r="A180" s="825"/>
      <c r="B180" s="348">
        <v>630</v>
      </c>
      <c r="C180" s="64" t="s">
        <v>131</v>
      </c>
      <c r="D180" s="79">
        <v>3187</v>
      </c>
      <c r="E180" s="79">
        <v>730</v>
      </c>
      <c r="F180" s="79">
        <v>1958</v>
      </c>
      <c r="G180" s="79">
        <v>907</v>
      </c>
      <c r="H180" s="79">
        <v>141</v>
      </c>
      <c r="I180" s="64">
        <v>2905</v>
      </c>
      <c r="J180" s="64">
        <v>3455</v>
      </c>
      <c r="K180" s="79">
        <v>2500</v>
      </c>
      <c r="L180" s="33">
        <v>0</v>
      </c>
      <c r="M180" s="32">
        <v>2500</v>
      </c>
      <c r="N180" s="33">
        <v>5021.05</v>
      </c>
      <c r="O180" s="32">
        <v>4295.47</v>
      </c>
      <c r="P180" s="32">
        <v>4428.13</v>
      </c>
      <c r="Q180" s="33">
        <v>5000</v>
      </c>
      <c r="R180" s="225">
        <v>5000</v>
      </c>
      <c r="S180" s="167">
        <v>1</v>
      </c>
      <c r="T180" s="662">
        <v>5000</v>
      </c>
      <c r="U180" s="620">
        <v>5000</v>
      </c>
    </row>
    <row r="181" spans="1:21" ht="15.75" thickBot="1" x14ac:dyDescent="0.3">
      <c r="A181" s="741" t="s">
        <v>270</v>
      </c>
      <c r="B181" s="815" t="s">
        <v>274</v>
      </c>
      <c r="C181" s="773"/>
      <c r="D181" s="103">
        <v>90752</v>
      </c>
      <c r="E181" s="103">
        <v>96030</v>
      </c>
      <c r="F181" s="103">
        <v>117540</v>
      </c>
      <c r="G181" s="103">
        <v>141455</v>
      </c>
      <c r="H181" s="103">
        <f t="shared" ref="H181:R181" si="31">SUM(H182:H186)</f>
        <v>157876</v>
      </c>
      <c r="I181" s="103">
        <f t="shared" si="31"/>
        <v>153798</v>
      </c>
      <c r="J181" s="103">
        <f t="shared" si="31"/>
        <v>141580</v>
      </c>
      <c r="K181" s="103">
        <f t="shared" si="31"/>
        <v>144793</v>
      </c>
      <c r="L181" s="104">
        <f t="shared" si="31"/>
        <v>138341.56</v>
      </c>
      <c r="M181" s="104">
        <f t="shared" si="31"/>
        <v>147764.81</v>
      </c>
      <c r="N181" s="242">
        <f t="shared" si="31"/>
        <v>187629.79</v>
      </c>
      <c r="O181" s="243">
        <f t="shared" si="31"/>
        <v>231026.1</v>
      </c>
      <c r="P181" s="242">
        <f t="shared" si="31"/>
        <v>241971.54</v>
      </c>
      <c r="Q181" s="242">
        <f t="shared" si="31"/>
        <v>327480</v>
      </c>
      <c r="R181" s="242">
        <v>335691</v>
      </c>
      <c r="S181" s="193">
        <v>1.025073286918285</v>
      </c>
      <c r="T181" s="659">
        <v>335691</v>
      </c>
      <c r="U181" s="617">
        <v>335691</v>
      </c>
    </row>
    <row r="182" spans="1:21" x14ac:dyDescent="0.25">
      <c r="A182" s="841"/>
      <c r="B182" s="188">
        <v>610</v>
      </c>
      <c r="C182" s="60" t="s">
        <v>129</v>
      </c>
      <c r="D182" s="61"/>
      <c r="E182" s="61">
        <v>65691</v>
      </c>
      <c r="F182" s="61">
        <v>80097</v>
      </c>
      <c r="G182" s="61">
        <v>93395</v>
      </c>
      <c r="H182" s="61">
        <v>102238</v>
      </c>
      <c r="I182" s="60">
        <v>102422</v>
      </c>
      <c r="J182" s="61">
        <v>93404</v>
      </c>
      <c r="K182" s="61">
        <v>93846</v>
      </c>
      <c r="L182" s="20">
        <v>85213.93</v>
      </c>
      <c r="M182" s="130">
        <v>101710.97</v>
      </c>
      <c r="N182" s="21">
        <v>126027.75</v>
      </c>
      <c r="O182" s="20">
        <v>154366.21</v>
      </c>
      <c r="P182" s="20">
        <v>162844.91</v>
      </c>
      <c r="Q182" s="21">
        <v>226462</v>
      </c>
      <c r="R182" s="150">
        <v>232548</v>
      </c>
      <c r="S182" s="151">
        <v>1.0268742658812515</v>
      </c>
      <c r="T182" s="650">
        <v>232548</v>
      </c>
      <c r="U182" s="651">
        <v>232548</v>
      </c>
    </row>
    <row r="183" spans="1:21" x14ac:dyDescent="0.25">
      <c r="A183" s="842"/>
      <c r="B183" s="189">
        <v>620</v>
      </c>
      <c r="C183" s="62" t="s">
        <v>130</v>
      </c>
      <c r="D183" s="63"/>
      <c r="E183" s="63">
        <v>22738</v>
      </c>
      <c r="F183" s="63">
        <v>27783</v>
      </c>
      <c r="G183" s="63">
        <v>32056</v>
      </c>
      <c r="H183" s="63">
        <v>35361</v>
      </c>
      <c r="I183" s="62">
        <v>35526</v>
      </c>
      <c r="J183" s="63">
        <v>32703</v>
      </c>
      <c r="K183" s="63">
        <v>32877</v>
      </c>
      <c r="L183" s="26">
        <v>32579.829999999994</v>
      </c>
      <c r="M183" s="131">
        <v>29560.18</v>
      </c>
      <c r="N183" s="27">
        <v>41405.870000000003</v>
      </c>
      <c r="O183" s="26">
        <v>53348.97</v>
      </c>
      <c r="P183" s="26">
        <v>57717.62</v>
      </c>
      <c r="Q183" s="27">
        <v>79618</v>
      </c>
      <c r="R183" s="153">
        <v>81743</v>
      </c>
      <c r="S183" s="156">
        <v>1.0266899444849156</v>
      </c>
      <c r="T183" s="652">
        <v>81743</v>
      </c>
      <c r="U183" s="653">
        <v>81743</v>
      </c>
    </row>
    <row r="184" spans="1:21" x14ac:dyDescent="0.25">
      <c r="A184" s="842"/>
      <c r="B184" s="300">
        <v>630</v>
      </c>
      <c r="C184" s="65" t="s">
        <v>131</v>
      </c>
      <c r="D184" s="96"/>
      <c r="E184" s="96">
        <v>7369</v>
      </c>
      <c r="F184" s="96">
        <v>8830</v>
      </c>
      <c r="G184" s="96">
        <v>15669</v>
      </c>
      <c r="H184" s="96">
        <v>19477</v>
      </c>
      <c r="I184" s="65">
        <v>15050</v>
      </c>
      <c r="J184" s="63">
        <v>14133</v>
      </c>
      <c r="K184" s="63">
        <v>17748</v>
      </c>
      <c r="L184" s="51">
        <v>20156.86</v>
      </c>
      <c r="M184" s="51">
        <v>15870.11</v>
      </c>
      <c r="N184" s="52">
        <v>19809.259999999998</v>
      </c>
      <c r="O184" s="51">
        <v>22572.22</v>
      </c>
      <c r="P184" s="51">
        <v>20719.09</v>
      </c>
      <c r="Q184" s="52">
        <v>21400</v>
      </c>
      <c r="R184" s="221">
        <v>21400</v>
      </c>
      <c r="S184" s="156">
        <v>1</v>
      </c>
      <c r="T184" s="652">
        <v>21400</v>
      </c>
      <c r="U184" s="653">
        <v>21400</v>
      </c>
    </row>
    <row r="185" spans="1:21" ht="15.75" thickBot="1" x14ac:dyDescent="0.3">
      <c r="A185" s="842"/>
      <c r="B185" s="266">
        <v>640</v>
      </c>
      <c r="C185" s="64" t="s">
        <v>132</v>
      </c>
      <c r="D185" s="79"/>
      <c r="E185" s="79"/>
      <c r="F185" s="79"/>
      <c r="G185" s="79"/>
      <c r="H185" s="79"/>
      <c r="I185" s="64"/>
      <c r="J185" s="79">
        <v>1340</v>
      </c>
      <c r="K185" s="79">
        <v>322</v>
      </c>
      <c r="L185" s="32">
        <v>390.94</v>
      </c>
      <c r="M185" s="32">
        <v>623.54999999999995</v>
      </c>
      <c r="N185" s="33">
        <v>386.91</v>
      </c>
      <c r="O185" s="32">
        <v>738.7</v>
      </c>
      <c r="P185" s="32">
        <v>689.92</v>
      </c>
      <c r="Q185" s="33"/>
      <c r="R185" s="225"/>
      <c r="S185" s="161">
        <v>0</v>
      </c>
      <c r="T185" s="663"/>
      <c r="U185" s="658"/>
    </row>
    <row r="186" spans="1:21" ht="15.75" hidden="1" thickBot="1" x14ac:dyDescent="0.3">
      <c r="A186" s="843"/>
      <c r="B186" s="190">
        <v>630</v>
      </c>
      <c r="C186" s="208" t="s">
        <v>275</v>
      </c>
      <c r="D186" s="159"/>
      <c r="E186" s="159">
        <v>232</v>
      </c>
      <c r="F186" s="159">
        <v>830</v>
      </c>
      <c r="G186" s="159">
        <v>335</v>
      </c>
      <c r="H186" s="159">
        <v>800</v>
      </c>
      <c r="I186" s="208">
        <v>800</v>
      </c>
      <c r="J186" s="208"/>
      <c r="K186" s="159"/>
      <c r="L186" s="100"/>
      <c r="M186" s="100"/>
      <c r="N186" s="100"/>
      <c r="O186" s="99"/>
      <c r="P186" s="99"/>
      <c r="Q186" s="100"/>
      <c r="R186" s="160"/>
      <c r="S186" s="167">
        <v>0</v>
      </c>
      <c r="T186" s="672"/>
      <c r="U186" s="673"/>
    </row>
    <row r="187" spans="1:21" ht="15.75" thickBot="1" x14ac:dyDescent="0.3">
      <c r="A187" s="349" t="s">
        <v>276</v>
      </c>
      <c r="B187" s="815" t="s">
        <v>277</v>
      </c>
      <c r="C187" s="773"/>
      <c r="D187" s="241">
        <v>35152</v>
      </c>
      <c r="E187" s="241">
        <v>34654</v>
      </c>
      <c r="F187" s="241">
        <v>45741</v>
      </c>
      <c r="G187" s="241">
        <v>45381</v>
      </c>
      <c r="H187" s="103">
        <f>SUM(H188:H191)</f>
        <v>47758</v>
      </c>
      <c r="I187" s="103">
        <f>SUM(I188:I191)</f>
        <v>57427</v>
      </c>
      <c r="J187" s="103">
        <f>SUM(J188:J190)</f>
        <v>33860</v>
      </c>
      <c r="K187" s="103">
        <f>SUM(K188:K191)</f>
        <v>33843</v>
      </c>
      <c r="L187" s="104">
        <f>SUM(L188:L191)</f>
        <v>35020.590000000004</v>
      </c>
      <c r="M187" s="104">
        <f>SUM(M188:M191)</f>
        <v>40552.410000000003</v>
      </c>
      <c r="N187" s="242">
        <f>SUM(N188:N191)</f>
        <v>37850.049999999996</v>
      </c>
      <c r="O187" s="243">
        <f>SUM(O188:O191)</f>
        <v>37981.53</v>
      </c>
      <c r="P187" s="242">
        <f>SUM(P188:P190)</f>
        <v>31489.34</v>
      </c>
      <c r="Q187" s="242">
        <f>SUM(Q188:Q190)</f>
        <v>40137</v>
      </c>
      <c r="R187" s="242">
        <v>40697</v>
      </c>
      <c r="S187" s="193">
        <v>1.0139522136681864</v>
      </c>
      <c r="T187" s="659">
        <v>40697</v>
      </c>
      <c r="U187" s="617">
        <v>40697</v>
      </c>
    </row>
    <row r="188" spans="1:21" x14ac:dyDescent="0.25">
      <c r="A188" s="844"/>
      <c r="B188" s="188">
        <v>610</v>
      </c>
      <c r="C188" s="181" t="s">
        <v>129</v>
      </c>
      <c r="D188" s="323"/>
      <c r="E188" s="323">
        <v>21277</v>
      </c>
      <c r="F188" s="323">
        <v>26622</v>
      </c>
      <c r="G188" s="323">
        <v>27938</v>
      </c>
      <c r="H188" s="323">
        <v>29205</v>
      </c>
      <c r="I188" s="61">
        <v>32982</v>
      </c>
      <c r="J188" s="61">
        <v>19537</v>
      </c>
      <c r="K188" s="61">
        <v>19331</v>
      </c>
      <c r="L188" s="20">
        <v>19931.3</v>
      </c>
      <c r="M188" s="20">
        <v>21474.28</v>
      </c>
      <c r="N188" s="21">
        <v>19698.37</v>
      </c>
      <c r="O188" s="20">
        <v>20600.240000000002</v>
      </c>
      <c r="P188" s="20">
        <v>19790.259999999998</v>
      </c>
      <c r="Q188" s="21">
        <v>21750</v>
      </c>
      <c r="R188" s="150">
        <v>22164</v>
      </c>
      <c r="S188" s="151">
        <v>1.0190344827586206</v>
      </c>
      <c r="T188" s="650">
        <v>22164</v>
      </c>
      <c r="U188" s="651">
        <v>22164</v>
      </c>
    </row>
    <row r="189" spans="1:21" x14ac:dyDescent="0.25">
      <c r="A189" s="845"/>
      <c r="B189" s="189">
        <v>620</v>
      </c>
      <c r="C189" s="183" t="s">
        <v>130</v>
      </c>
      <c r="D189" s="154"/>
      <c r="E189" s="154">
        <v>8033</v>
      </c>
      <c r="F189" s="154">
        <v>9792</v>
      </c>
      <c r="G189" s="154">
        <v>10190</v>
      </c>
      <c r="H189" s="154">
        <v>10431</v>
      </c>
      <c r="I189" s="63">
        <v>13206</v>
      </c>
      <c r="J189" s="63">
        <v>7857</v>
      </c>
      <c r="K189" s="63">
        <v>7510</v>
      </c>
      <c r="L189" s="26">
        <v>8330.59</v>
      </c>
      <c r="M189" s="26">
        <v>7982.2</v>
      </c>
      <c r="N189" s="27">
        <v>7602.19</v>
      </c>
      <c r="O189" s="26">
        <v>8776.16</v>
      </c>
      <c r="P189" s="26">
        <v>7193.52</v>
      </c>
      <c r="Q189" s="27">
        <v>7852</v>
      </c>
      <c r="R189" s="153">
        <v>7998</v>
      </c>
      <c r="S189" s="156">
        <v>1.0185939887926643</v>
      </c>
      <c r="T189" s="652">
        <v>7998</v>
      </c>
      <c r="U189" s="653">
        <v>7998</v>
      </c>
    </row>
    <row r="190" spans="1:21" x14ac:dyDescent="0.25">
      <c r="A190" s="845"/>
      <c r="B190" s="189">
        <v>630</v>
      </c>
      <c r="C190" s="183" t="s">
        <v>131</v>
      </c>
      <c r="D190" s="154"/>
      <c r="E190" s="154">
        <v>5344</v>
      </c>
      <c r="F190" s="154">
        <v>9327</v>
      </c>
      <c r="G190" s="154">
        <v>7253</v>
      </c>
      <c r="H190" s="154">
        <v>8122</v>
      </c>
      <c r="I190" s="63">
        <v>7483</v>
      </c>
      <c r="J190" s="63">
        <v>6466</v>
      </c>
      <c r="K190" s="63">
        <v>6899</v>
      </c>
      <c r="L190" s="26">
        <v>6669.76</v>
      </c>
      <c r="M190" s="26">
        <v>10990.38</v>
      </c>
      <c r="N190" s="27">
        <v>10449.24</v>
      </c>
      <c r="O190" s="26">
        <v>5491.5700000000006</v>
      </c>
      <c r="P190" s="26">
        <v>4505.5600000000004</v>
      </c>
      <c r="Q190" s="27">
        <v>10535</v>
      </c>
      <c r="R190" s="27">
        <v>10535</v>
      </c>
      <c r="S190" s="156">
        <v>1</v>
      </c>
      <c r="T190" s="652">
        <v>10535</v>
      </c>
      <c r="U190" s="653">
        <v>10535</v>
      </c>
    </row>
    <row r="191" spans="1:21" ht="15.75" thickBot="1" x14ac:dyDescent="0.3">
      <c r="A191" s="846"/>
      <c r="B191" s="190">
        <v>640</v>
      </c>
      <c r="C191" s="236" t="s">
        <v>132</v>
      </c>
      <c r="D191" s="294"/>
      <c r="E191" s="294"/>
      <c r="F191" s="294"/>
      <c r="G191" s="294"/>
      <c r="H191" s="294"/>
      <c r="I191" s="159">
        <v>3756</v>
      </c>
      <c r="J191" s="159"/>
      <c r="K191" s="159">
        <v>103</v>
      </c>
      <c r="L191" s="350">
        <v>88.94</v>
      </c>
      <c r="M191" s="224">
        <v>105.55</v>
      </c>
      <c r="N191" s="33">
        <v>100.25</v>
      </c>
      <c r="O191" s="32">
        <v>3113.56</v>
      </c>
      <c r="P191" s="32"/>
      <c r="Q191" s="33"/>
      <c r="R191" s="225"/>
      <c r="S191" s="161">
        <v>0</v>
      </c>
      <c r="T191" s="162"/>
      <c r="U191" s="656"/>
    </row>
    <row r="192" spans="1:21" ht="36" customHeight="1" thickBot="1" x14ac:dyDescent="0.3">
      <c r="A192" s="351" t="s">
        <v>278</v>
      </c>
      <c r="B192" s="847" t="s">
        <v>279</v>
      </c>
      <c r="C192" s="848"/>
      <c r="D192" s="352">
        <v>105855</v>
      </c>
      <c r="E192" s="352">
        <v>102071</v>
      </c>
      <c r="F192" s="352">
        <v>77475</v>
      </c>
      <c r="G192" s="352">
        <v>119794</v>
      </c>
      <c r="H192" s="353">
        <v>122484</v>
      </c>
      <c r="I192" s="353">
        <f>I193+I198+I199+I200+I201+I202+I204+I206+I203</f>
        <v>95592</v>
      </c>
      <c r="J192" s="353">
        <f>J193+J198+J199+J200+J201+J202+J204+J206+J203</f>
        <v>235945</v>
      </c>
      <c r="K192" s="353">
        <f>K193+K198+K199+K200+K201+K202+K204+K206+K203</f>
        <v>566990</v>
      </c>
      <c r="L192" s="354">
        <f>L193+L198+L199+L200+L201+L202+L204+L206+L203</f>
        <v>568843.26</v>
      </c>
      <c r="M192" s="354">
        <f>M193+M198+M201+M202+M203+M204-M203</f>
        <v>470939.22999999992</v>
      </c>
      <c r="N192" s="355">
        <f>SUM(N198:N206)+N193</f>
        <v>341351.46</v>
      </c>
      <c r="O192" s="356">
        <f>SUM(O198:O206)+O193</f>
        <v>302230.36999999994</v>
      </c>
      <c r="P192" s="355">
        <f>SUM(P198:P206)+P193</f>
        <v>332895.13</v>
      </c>
      <c r="Q192" s="355">
        <f>SUM(Q198:Q206)+Q193</f>
        <v>398129</v>
      </c>
      <c r="R192" s="355">
        <v>352166</v>
      </c>
      <c r="S192" s="357">
        <v>0.88455249429205107</v>
      </c>
      <c r="T192" s="679">
        <v>350166</v>
      </c>
      <c r="U192" s="680">
        <v>350166</v>
      </c>
    </row>
    <row r="193" spans="1:21" ht="26.45" customHeight="1" thickBot="1" x14ac:dyDescent="0.3">
      <c r="A193" s="835"/>
      <c r="B193" s="836" t="s">
        <v>280</v>
      </c>
      <c r="C193" s="837"/>
      <c r="D193" s="358">
        <v>26024</v>
      </c>
      <c r="E193" s="358">
        <v>26422</v>
      </c>
      <c r="F193" s="358">
        <v>12381</v>
      </c>
      <c r="G193" s="358">
        <v>67096</v>
      </c>
      <c r="H193" s="359">
        <f t="shared" ref="H193:O193" si="32">SUM(H194:H196)</f>
        <v>63788</v>
      </c>
      <c r="I193" s="359">
        <f t="shared" si="32"/>
        <v>2494</v>
      </c>
      <c r="J193" s="359">
        <f t="shared" si="32"/>
        <v>41385</v>
      </c>
      <c r="K193" s="359">
        <f>SUM(K194:K197)</f>
        <v>80229</v>
      </c>
      <c r="L193" s="360">
        <f>SUM(L194:L197)</f>
        <v>66952.969999999987</v>
      </c>
      <c r="M193" s="360">
        <f>SUM(M194:M197)</f>
        <v>85074.98</v>
      </c>
      <c r="N193" s="359">
        <f t="shared" si="32"/>
        <v>7365</v>
      </c>
      <c r="O193" s="360">
        <f t="shared" si="32"/>
        <v>28865.35</v>
      </c>
      <c r="P193" s="359">
        <f>SUM(P194:P197)</f>
        <v>120501.78</v>
      </c>
      <c r="Q193" s="359">
        <f>SUM(Q194:Q197)</f>
        <v>141005</v>
      </c>
      <c r="R193" s="359">
        <v>141442</v>
      </c>
      <c r="S193" s="357">
        <v>1.0030991808801106</v>
      </c>
      <c r="T193" s="679">
        <v>141442</v>
      </c>
      <c r="U193" s="680">
        <v>141442</v>
      </c>
    </row>
    <row r="194" spans="1:21" x14ac:dyDescent="0.25">
      <c r="A194" s="835"/>
      <c r="B194" s="149">
        <v>610</v>
      </c>
      <c r="C194" s="60" t="s">
        <v>129</v>
      </c>
      <c r="D194" s="61"/>
      <c r="E194" s="61">
        <v>16132</v>
      </c>
      <c r="F194" s="61">
        <v>7933</v>
      </c>
      <c r="G194" s="61">
        <v>43567</v>
      </c>
      <c r="H194" s="61">
        <v>42257</v>
      </c>
      <c r="I194" s="361">
        <v>2163</v>
      </c>
      <c r="J194" s="361">
        <v>27310</v>
      </c>
      <c r="K194" s="361">
        <v>54820</v>
      </c>
      <c r="L194" s="362">
        <v>43998.71</v>
      </c>
      <c r="M194" s="362">
        <v>61007.02</v>
      </c>
      <c r="N194" s="363">
        <v>1010.2</v>
      </c>
      <c r="O194" s="364">
        <v>19809.79</v>
      </c>
      <c r="P194" s="364">
        <v>74996.97</v>
      </c>
      <c r="Q194" s="363">
        <v>93422</v>
      </c>
      <c r="R194" s="363">
        <v>91152</v>
      </c>
      <c r="S194" s="151">
        <v>0.97570165485645777</v>
      </c>
      <c r="T194" s="650">
        <v>91152</v>
      </c>
      <c r="U194" s="651">
        <v>91152</v>
      </c>
    </row>
    <row r="195" spans="1:21" x14ac:dyDescent="0.25">
      <c r="A195" s="835"/>
      <c r="B195" s="152">
        <v>620</v>
      </c>
      <c r="C195" s="62" t="s">
        <v>130</v>
      </c>
      <c r="D195" s="63"/>
      <c r="E195" s="63">
        <v>5344</v>
      </c>
      <c r="F195" s="63">
        <v>2622</v>
      </c>
      <c r="G195" s="63">
        <v>14529</v>
      </c>
      <c r="H195" s="63">
        <v>14713</v>
      </c>
      <c r="I195" s="365">
        <v>323</v>
      </c>
      <c r="J195" s="365">
        <v>10254</v>
      </c>
      <c r="K195" s="365">
        <v>19614</v>
      </c>
      <c r="L195" s="366">
        <v>18142.439999999999</v>
      </c>
      <c r="M195" s="366">
        <v>19303.48</v>
      </c>
      <c r="N195" s="367">
        <v>430.73</v>
      </c>
      <c r="O195" s="366">
        <v>6838.92</v>
      </c>
      <c r="P195" s="366">
        <v>26581.7</v>
      </c>
      <c r="Q195" s="367">
        <v>33083</v>
      </c>
      <c r="R195" s="367">
        <v>32290</v>
      </c>
      <c r="S195" s="156">
        <v>0.9760299851887676</v>
      </c>
      <c r="T195" s="652">
        <v>32290</v>
      </c>
      <c r="U195" s="653">
        <v>32290</v>
      </c>
    </row>
    <row r="196" spans="1:21" x14ac:dyDescent="0.25">
      <c r="A196" s="835"/>
      <c r="B196" s="152">
        <v>630</v>
      </c>
      <c r="C196" s="62" t="s">
        <v>131</v>
      </c>
      <c r="D196" s="63"/>
      <c r="E196" s="63">
        <v>4946</v>
      </c>
      <c r="F196" s="63">
        <v>1826</v>
      </c>
      <c r="G196" s="63">
        <v>9000</v>
      </c>
      <c r="H196" s="63">
        <v>6818</v>
      </c>
      <c r="I196" s="63">
        <v>8</v>
      </c>
      <c r="J196" s="63">
        <f>3526+295</f>
        <v>3821</v>
      </c>
      <c r="K196" s="365">
        <v>5011</v>
      </c>
      <c r="L196" s="366">
        <v>4277.1499999999996</v>
      </c>
      <c r="M196" s="366">
        <v>4479.7</v>
      </c>
      <c r="N196" s="367">
        <v>5924.07</v>
      </c>
      <c r="O196" s="366">
        <v>2216.64</v>
      </c>
      <c r="P196" s="366">
        <v>18923.11</v>
      </c>
      <c r="Q196" s="367">
        <v>14500</v>
      </c>
      <c r="R196" s="367">
        <v>18000</v>
      </c>
      <c r="S196" s="156">
        <v>1.2413793103448276</v>
      </c>
      <c r="T196" s="652">
        <v>18000</v>
      </c>
      <c r="U196" s="653">
        <v>18000</v>
      </c>
    </row>
    <row r="197" spans="1:21" ht="15.75" thickBot="1" x14ac:dyDescent="0.3">
      <c r="A197" s="835"/>
      <c r="B197" s="222"/>
      <c r="C197" s="296"/>
      <c r="D197" s="298"/>
      <c r="E197" s="298"/>
      <c r="F197" s="298"/>
      <c r="G197" s="298"/>
      <c r="H197" s="298"/>
      <c r="I197" s="298"/>
      <c r="J197" s="298"/>
      <c r="K197" s="368">
        <v>784</v>
      </c>
      <c r="L197" s="369">
        <v>534.66999999999996</v>
      </c>
      <c r="M197" s="369">
        <v>284.77999999999997</v>
      </c>
      <c r="N197" s="370"/>
      <c r="O197" s="369"/>
      <c r="P197" s="369"/>
      <c r="Q197" s="370"/>
      <c r="R197" s="371"/>
      <c r="S197" s="226">
        <v>0</v>
      </c>
      <c r="T197" s="681"/>
      <c r="U197" s="682"/>
    </row>
    <row r="198" spans="1:21" x14ac:dyDescent="0.25">
      <c r="A198" s="835"/>
      <c r="B198" s="372"/>
      <c r="C198" s="326" t="s">
        <v>281</v>
      </c>
      <c r="D198" s="325"/>
      <c r="E198" s="325"/>
      <c r="F198" s="325"/>
      <c r="G198" s="325"/>
      <c r="H198" s="325"/>
      <c r="I198" s="326">
        <v>9265</v>
      </c>
      <c r="J198" s="154">
        <v>11343</v>
      </c>
      <c r="K198" s="63">
        <v>6313</v>
      </c>
      <c r="L198" s="48">
        <v>5404.14</v>
      </c>
      <c r="M198" s="48">
        <v>4327.68</v>
      </c>
      <c r="N198" s="49"/>
      <c r="O198" s="48">
        <v>3575.04</v>
      </c>
      <c r="P198" s="48">
        <v>3928.96</v>
      </c>
      <c r="Q198" s="49">
        <v>7000</v>
      </c>
      <c r="R198" s="248">
        <v>3500</v>
      </c>
      <c r="S198" s="151">
        <v>0.5</v>
      </c>
      <c r="T198" s="49">
        <v>3500</v>
      </c>
      <c r="U198" s="651">
        <v>3500</v>
      </c>
    </row>
    <row r="199" spans="1:21" x14ac:dyDescent="0.25">
      <c r="A199" s="835"/>
      <c r="B199" s="373"/>
      <c r="C199" s="183" t="s">
        <v>282</v>
      </c>
      <c r="D199" s="154"/>
      <c r="E199" s="154"/>
      <c r="F199" s="154"/>
      <c r="G199" s="154"/>
      <c r="H199" s="154"/>
      <c r="I199" s="183"/>
      <c r="J199" s="154"/>
      <c r="K199" s="63"/>
      <c r="L199" s="26"/>
      <c r="M199" s="27"/>
      <c r="N199" s="27">
        <v>0</v>
      </c>
      <c r="O199" s="26">
        <v>30265.35</v>
      </c>
      <c r="P199" s="26"/>
      <c r="Q199" s="27"/>
      <c r="R199" s="153"/>
      <c r="S199" s="156">
        <v>0</v>
      </c>
      <c r="T199" s="27"/>
      <c r="U199" s="653"/>
    </row>
    <row r="200" spans="1:21" ht="12.75" customHeight="1" x14ac:dyDescent="0.25">
      <c r="A200" s="835"/>
      <c r="B200" s="373">
        <v>630</v>
      </c>
      <c r="C200" s="183" t="s">
        <v>282</v>
      </c>
      <c r="D200" s="154"/>
      <c r="E200" s="154"/>
      <c r="F200" s="154"/>
      <c r="G200" s="154"/>
      <c r="H200" s="154"/>
      <c r="I200" s="183"/>
      <c r="J200" s="154"/>
      <c r="K200" s="63"/>
      <c r="L200" s="26"/>
      <c r="M200" s="27"/>
      <c r="N200" s="27">
        <v>0</v>
      </c>
      <c r="O200" s="26"/>
      <c r="P200" s="26"/>
      <c r="Q200" s="27"/>
      <c r="R200" s="153"/>
      <c r="S200" s="156">
        <v>0</v>
      </c>
      <c r="T200" s="27"/>
      <c r="U200" s="653"/>
    </row>
    <row r="201" spans="1:21" ht="12.75" customHeight="1" x14ac:dyDescent="0.25">
      <c r="A201" s="835"/>
      <c r="B201" s="373">
        <v>630</v>
      </c>
      <c r="C201" s="183" t="s">
        <v>283</v>
      </c>
      <c r="D201" s="154"/>
      <c r="E201" s="154"/>
      <c r="F201" s="154"/>
      <c r="G201" s="154"/>
      <c r="H201" s="154"/>
      <c r="I201" s="183">
        <v>66358</v>
      </c>
      <c r="J201" s="154">
        <v>95746</v>
      </c>
      <c r="K201" s="63">
        <f>5530+80179</f>
        <v>85709</v>
      </c>
      <c r="L201" s="26">
        <v>56320.98000000001</v>
      </c>
      <c r="M201" s="26">
        <v>47905.93</v>
      </c>
      <c r="N201" s="27">
        <v>34336.340000000004</v>
      </c>
      <c r="O201" s="26">
        <v>29495.23</v>
      </c>
      <c r="P201" s="26">
        <v>24290.5</v>
      </c>
      <c r="Q201" s="27">
        <v>35000</v>
      </c>
      <c r="R201" s="153">
        <v>35000</v>
      </c>
      <c r="S201" s="156">
        <v>1</v>
      </c>
      <c r="T201" s="27">
        <v>35000</v>
      </c>
      <c r="U201" s="653">
        <v>35000</v>
      </c>
    </row>
    <row r="202" spans="1:21" x14ac:dyDescent="0.25">
      <c r="A202" s="835"/>
      <c r="B202" s="373">
        <v>630</v>
      </c>
      <c r="C202" s="183"/>
      <c r="D202" s="154"/>
      <c r="E202" s="154"/>
      <c r="F202" s="154"/>
      <c r="G202" s="154"/>
      <c r="H202" s="154"/>
      <c r="I202" s="63">
        <v>642</v>
      </c>
      <c r="J202" s="154"/>
      <c r="K202" s="63"/>
      <c r="L202" s="26"/>
      <c r="M202" s="26">
        <v>323039.83999999997</v>
      </c>
      <c r="N202" s="27">
        <v>0</v>
      </c>
      <c r="O202" s="26"/>
      <c r="P202" s="26"/>
      <c r="Q202" s="27"/>
      <c r="R202" s="153"/>
      <c r="S202" s="156">
        <v>0</v>
      </c>
      <c r="T202" s="27"/>
      <c r="U202" s="653"/>
    </row>
    <row r="203" spans="1:21" x14ac:dyDescent="0.25">
      <c r="A203" s="835"/>
      <c r="B203" s="373"/>
      <c r="C203" s="183" t="s">
        <v>106</v>
      </c>
      <c r="D203" s="154"/>
      <c r="E203" s="154"/>
      <c r="F203" s="154"/>
      <c r="G203" s="154"/>
      <c r="H203" s="154"/>
      <c r="I203" s="183"/>
      <c r="J203" s="154">
        <v>85602</v>
      </c>
      <c r="K203" s="63">
        <f>4915+388479</f>
        <v>393394</v>
      </c>
      <c r="L203" s="26">
        <v>426977.77</v>
      </c>
      <c r="M203" s="26">
        <v>6176.6</v>
      </c>
      <c r="N203" s="27">
        <v>281171.12</v>
      </c>
      <c r="O203" s="26">
        <v>192626.66999999998</v>
      </c>
      <c r="P203" s="26">
        <v>166083.10999999999</v>
      </c>
      <c r="Q203" s="27">
        <v>192900</v>
      </c>
      <c r="R203" s="153">
        <v>150000</v>
      </c>
      <c r="S203" s="156">
        <v>0.77760497667185069</v>
      </c>
      <c r="T203" s="27">
        <v>150000</v>
      </c>
      <c r="U203" s="653">
        <v>150000</v>
      </c>
    </row>
    <row r="204" spans="1:21" x14ac:dyDescent="0.25">
      <c r="A204" s="835"/>
      <c r="B204" s="373">
        <v>630</v>
      </c>
      <c r="C204" s="183" t="s">
        <v>284</v>
      </c>
      <c r="D204" s="154"/>
      <c r="E204" s="154"/>
      <c r="F204" s="154"/>
      <c r="G204" s="154"/>
      <c r="H204" s="154"/>
      <c r="I204" s="183">
        <v>16833</v>
      </c>
      <c r="J204" s="154">
        <v>1809</v>
      </c>
      <c r="K204" s="63">
        <v>1345</v>
      </c>
      <c r="L204" s="26">
        <v>13077.4</v>
      </c>
      <c r="M204" s="26">
        <v>10590.8</v>
      </c>
      <c r="N204" s="27">
        <v>6654.32</v>
      </c>
      <c r="O204" s="26">
        <v>7292.93</v>
      </c>
      <c r="P204" s="26">
        <v>7200.5999999999995</v>
      </c>
      <c r="Q204" s="27"/>
      <c r="R204" s="153"/>
      <c r="S204" s="156">
        <v>0</v>
      </c>
      <c r="T204" s="27"/>
      <c r="U204" s="653"/>
    </row>
    <row r="205" spans="1:21" x14ac:dyDescent="0.25">
      <c r="A205" s="835"/>
      <c r="B205" s="374"/>
      <c r="C205" s="183" t="s">
        <v>285</v>
      </c>
      <c r="D205" s="375"/>
      <c r="E205" s="375"/>
      <c r="F205" s="375"/>
      <c r="G205" s="375"/>
      <c r="H205" s="375"/>
      <c r="I205" s="376"/>
      <c r="J205" s="154"/>
      <c r="K205" s="63"/>
      <c r="L205" s="51"/>
      <c r="M205" s="51"/>
      <c r="N205" s="52">
        <v>9556.68</v>
      </c>
      <c r="O205" s="51">
        <v>7519.8</v>
      </c>
      <c r="P205" s="51">
        <v>6557</v>
      </c>
      <c r="Q205" s="52">
        <v>20224</v>
      </c>
      <c r="R205" s="221">
        <v>20224</v>
      </c>
      <c r="S205" s="161">
        <v>1</v>
      </c>
      <c r="T205" s="52">
        <v>20224</v>
      </c>
      <c r="U205" s="658">
        <v>20224</v>
      </c>
    </row>
    <row r="206" spans="1:21" ht="15.75" thickBot="1" x14ac:dyDescent="0.3">
      <c r="A206" s="835"/>
      <c r="B206" s="377">
        <v>630</v>
      </c>
      <c r="C206" s="378" t="s">
        <v>286</v>
      </c>
      <c r="D206" s="379"/>
      <c r="E206" s="379"/>
      <c r="F206" s="379"/>
      <c r="G206" s="379"/>
      <c r="H206" s="379"/>
      <c r="I206" s="378"/>
      <c r="J206" s="154">
        <v>60</v>
      </c>
      <c r="K206" s="63"/>
      <c r="L206" s="51">
        <v>110</v>
      </c>
      <c r="M206" s="380"/>
      <c r="N206" s="380">
        <v>2268</v>
      </c>
      <c r="O206" s="381">
        <v>2590</v>
      </c>
      <c r="P206" s="381">
        <v>4333.18</v>
      </c>
      <c r="Q206" s="380">
        <v>2000</v>
      </c>
      <c r="R206" s="382">
        <v>2000</v>
      </c>
      <c r="S206" s="161">
        <v>1</v>
      </c>
      <c r="T206" s="162"/>
      <c r="U206" s="656"/>
    </row>
    <row r="207" spans="1:21" ht="17.25" thickTop="1" thickBot="1" x14ac:dyDescent="0.3">
      <c r="A207" s="383"/>
      <c r="B207" s="384"/>
      <c r="C207" s="385" t="s">
        <v>287</v>
      </c>
      <c r="D207" s="139">
        <f t="shared" ref="D207:U207" si="33">D4+D10+D14+D25+D27+D29+D34+D36+D41+D50+D56+D70+D74+D81+D86+D91+D110+D112+D122+D127+D142+D145+D150+D166+D171+D181+D187+D192+D115+D19+D43+D79</f>
        <v>5867125</v>
      </c>
      <c r="E207" s="139">
        <f t="shared" si="33"/>
        <v>6460200</v>
      </c>
      <c r="F207" s="139">
        <f t="shared" si="33"/>
        <v>7832271</v>
      </c>
      <c r="G207" s="139">
        <f t="shared" si="33"/>
        <v>8716285.4299999997</v>
      </c>
      <c r="H207" s="139">
        <f t="shared" si="33"/>
        <v>9309387</v>
      </c>
      <c r="I207" s="139">
        <f t="shared" si="33"/>
        <v>8743512.1999999993</v>
      </c>
      <c r="J207" s="139">
        <f t="shared" si="33"/>
        <v>8908071</v>
      </c>
      <c r="K207" s="139">
        <f t="shared" si="33"/>
        <v>8934542</v>
      </c>
      <c r="L207" s="140">
        <f t="shared" si="33"/>
        <v>9572545.3800000008</v>
      </c>
      <c r="M207" s="140">
        <f t="shared" si="33"/>
        <v>9554914.7999999989</v>
      </c>
      <c r="N207" s="386">
        <f>N4+N10+N14+N25+N27+N29+N34+N36+N41+N50+N56+N70+N74+N81+N86+N91+N110+N112+N122+N127+N142+N145+N150+N166+N171+N181+N187+N192+N115+N19+N43+N79</f>
        <v>9695081.3400000017</v>
      </c>
      <c r="O207" s="387">
        <f>O4+O10+O14+O25+O27+O29+O34+O36+O41+O50+O56+O70+O74+O81+O86+O91+O110+O112+O122+O127+O142+O145+O150+O166+O171+O181+O187+O192+O115+O19+O43+O79</f>
        <v>10029034.879999999</v>
      </c>
      <c r="P207" s="386">
        <f>P4+P10+P14+P25+P27+P29+P34+P36+P41+P50+P56+P70+P74+P81+P86+P91+P110+P112+P122+P127+P142+P145+P150+P166+P171+P181+P187+P192+P115+P19+P43+P79</f>
        <v>10815176.439999999</v>
      </c>
      <c r="Q207" s="386">
        <f>Q4+Q10+Q14+Q25+Q27+Q29+Q34+Q36+Q41+Q50+Q56+Q70+Q74+Q81+Q86+Q91+Q110+Q112+Q122+Q127+Q142+Q145+Q150+Q166+Q171+Q181+Q187+Q192+Q115+Q19+Q43+Q79</f>
        <v>12041710</v>
      </c>
      <c r="R207" s="386">
        <v>11824420</v>
      </c>
      <c r="S207" s="142">
        <v>0.98195522064557272</v>
      </c>
      <c r="T207" s="646">
        <v>11854256</v>
      </c>
      <c r="U207" s="647">
        <v>11883683</v>
      </c>
    </row>
    <row r="208" spans="1:21" ht="15.75" thickTop="1" x14ac:dyDescent="0.25">
      <c r="S208" s="327"/>
    </row>
    <row r="209" spans="12:21" x14ac:dyDescent="0.25">
      <c r="M209" s="327"/>
      <c r="R209" s="204"/>
      <c r="S209" s="327"/>
    </row>
    <row r="210" spans="12:21" x14ac:dyDescent="0.25">
      <c r="N210" s="204">
        <f>N192+N187+N181+N171+N166+N150+N145+N142+N127+N122+N115+N112+N110+N91+N86+N81+N74+N70+N56+N50+N43+N41+N36+N34+N29+N27+N25+N19+N14+N10+N4</f>
        <v>9695081.3399999961</v>
      </c>
      <c r="Q210" s="204"/>
      <c r="R210" s="204"/>
      <c r="S210" s="327"/>
      <c r="T210" s="683"/>
      <c r="U210" s="683"/>
    </row>
    <row r="211" spans="12:21" x14ac:dyDescent="0.25">
      <c r="M211" s="327"/>
      <c r="S211" s="327"/>
    </row>
    <row r="212" spans="12:21" x14ac:dyDescent="0.25">
      <c r="N212" s="204"/>
      <c r="O212" s="204"/>
      <c r="P212" s="204"/>
      <c r="Q212" s="204"/>
      <c r="R212" s="204"/>
      <c r="S212" s="327"/>
      <c r="T212" s="683"/>
      <c r="U212" s="683"/>
    </row>
    <row r="213" spans="12:21" x14ac:dyDescent="0.25">
      <c r="S213" s="327"/>
    </row>
    <row r="214" spans="12:21" x14ac:dyDescent="0.25">
      <c r="L214" s="204">
        <f>L5+L11+L15+L20+L30+L37+L44+L58+L71+L82+L87+L116+L152+L167+L173+L182+L188</f>
        <v>837254.97</v>
      </c>
      <c r="M214" s="204">
        <f>M5+M11+M15+M20+M30+M37+M44+M58+M71+M82+M87+M116+M152+M167+M173+M182+M188</f>
        <v>903320.2699999999</v>
      </c>
      <c r="N214" s="204">
        <f>N5+N11+N15+N20+N30+N37+N44+N58+N71+N82+N87+N116+N152+N167+N173+N182+N188</f>
        <v>1008958.9</v>
      </c>
      <c r="O214" s="204"/>
      <c r="P214" s="204"/>
      <c r="Q214" s="204"/>
      <c r="R214" s="204"/>
      <c r="S214" s="327"/>
      <c r="T214" s="683"/>
      <c r="U214" s="683"/>
    </row>
    <row r="215" spans="12:21" x14ac:dyDescent="0.25">
      <c r="S215" s="327"/>
    </row>
    <row r="216" spans="12:21" x14ac:dyDescent="0.25">
      <c r="N216" s="204">
        <f>N214-M214</f>
        <v>105638.63000000012</v>
      </c>
      <c r="O216" s="204"/>
      <c r="P216" s="204"/>
      <c r="Q216" s="204"/>
      <c r="S216" s="327"/>
    </row>
    <row r="217" spans="12:21" x14ac:dyDescent="0.25">
      <c r="S217" s="327"/>
    </row>
    <row r="218" spans="12:21" x14ac:dyDescent="0.25">
      <c r="R218" s="204"/>
      <c r="S218" s="204"/>
      <c r="T218" s="204"/>
      <c r="U218" s="204"/>
    </row>
    <row r="219" spans="12:21" x14ac:dyDescent="0.25">
      <c r="R219" s="204"/>
      <c r="S219" s="327"/>
    </row>
    <row r="220" spans="12:21" x14ac:dyDescent="0.25">
      <c r="S220" s="327"/>
    </row>
    <row r="221" spans="12:21" x14ac:dyDescent="0.25">
      <c r="S221" s="327"/>
    </row>
    <row r="222" spans="12:21" x14ac:dyDescent="0.25">
      <c r="S222" s="327"/>
    </row>
    <row r="223" spans="12:21" x14ac:dyDescent="0.25">
      <c r="S223" s="327"/>
    </row>
    <row r="224" spans="12:21" x14ac:dyDescent="0.25">
      <c r="S224" s="327"/>
    </row>
    <row r="225" spans="19:19" x14ac:dyDescent="0.25">
      <c r="S225" s="327"/>
    </row>
    <row r="226" spans="19:19" x14ac:dyDescent="0.25">
      <c r="S226" s="327"/>
    </row>
    <row r="227" spans="19:19" x14ac:dyDescent="0.25">
      <c r="S227" s="327"/>
    </row>
    <row r="228" spans="19:19" x14ac:dyDescent="0.25">
      <c r="S228" s="327"/>
    </row>
    <row r="229" spans="19:19" x14ac:dyDescent="0.25">
      <c r="S229" s="327"/>
    </row>
    <row r="230" spans="19:19" x14ac:dyDescent="0.25">
      <c r="S230" s="327"/>
    </row>
    <row r="231" spans="19:19" x14ac:dyDescent="0.25">
      <c r="S231" s="327"/>
    </row>
    <row r="232" spans="19:19" x14ac:dyDescent="0.25">
      <c r="S232" s="327"/>
    </row>
    <row r="233" spans="19:19" x14ac:dyDescent="0.25">
      <c r="S233" s="327"/>
    </row>
    <row r="234" spans="19:19" x14ac:dyDescent="0.25">
      <c r="S234" s="327"/>
    </row>
    <row r="235" spans="19:19" x14ac:dyDescent="0.25">
      <c r="S235" s="327"/>
    </row>
    <row r="236" spans="19:19" x14ac:dyDescent="0.25">
      <c r="S236" s="327"/>
    </row>
    <row r="237" spans="19:19" x14ac:dyDescent="0.25">
      <c r="S237" s="327"/>
    </row>
    <row r="238" spans="19:19" x14ac:dyDescent="0.25">
      <c r="S238" s="327"/>
    </row>
    <row r="239" spans="19:19" x14ac:dyDescent="0.25">
      <c r="S239" s="327"/>
    </row>
    <row r="240" spans="19:19" x14ac:dyDescent="0.25">
      <c r="S240" s="327"/>
    </row>
    <row r="241" spans="19:19" x14ac:dyDescent="0.25">
      <c r="S241" s="327"/>
    </row>
    <row r="242" spans="19:19" x14ac:dyDescent="0.25">
      <c r="S242" s="327"/>
    </row>
    <row r="243" spans="19:19" x14ac:dyDescent="0.25">
      <c r="S243" s="327"/>
    </row>
    <row r="244" spans="19:19" x14ac:dyDescent="0.25">
      <c r="S244" s="327"/>
    </row>
    <row r="245" spans="19:19" x14ac:dyDescent="0.25">
      <c r="S245" s="327"/>
    </row>
    <row r="246" spans="19:19" x14ac:dyDescent="0.25">
      <c r="S246" s="327"/>
    </row>
    <row r="247" spans="19:19" x14ac:dyDescent="0.25">
      <c r="S247" s="327"/>
    </row>
    <row r="248" spans="19:19" x14ac:dyDescent="0.25">
      <c r="S248" s="327"/>
    </row>
    <row r="249" spans="19:19" x14ac:dyDescent="0.25">
      <c r="S249" s="327"/>
    </row>
    <row r="250" spans="19:19" x14ac:dyDescent="0.25">
      <c r="S250" s="327"/>
    </row>
    <row r="251" spans="19:19" x14ac:dyDescent="0.25">
      <c r="S251" s="327"/>
    </row>
    <row r="252" spans="19:19" x14ac:dyDescent="0.25">
      <c r="S252" s="327"/>
    </row>
  </sheetData>
  <mergeCells count="88">
    <mergeCell ref="A1:C1"/>
    <mergeCell ref="T2:T3"/>
    <mergeCell ref="U2:U3"/>
    <mergeCell ref="A193:A206"/>
    <mergeCell ref="B193:C193"/>
    <mergeCell ref="B166:C166"/>
    <mergeCell ref="A167:A170"/>
    <mergeCell ref="B171:C171"/>
    <mergeCell ref="A172:A180"/>
    <mergeCell ref="B172:C172"/>
    <mergeCell ref="B179:C179"/>
    <mergeCell ref="B181:C181"/>
    <mergeCell ref="A182:A186"/>
    <mergeCell ref="B187:C187"/>
    <mergeCell ref="A188:A191"/>
    <mergeCell ref="B192:C192"/>
    <mergeCell ref="B145:C145"/>
    <mergeCell ref="A146:A149"/>
    <mergeCell ref="B146:B149"/>
    <mergeCell ref="B150:C150"/>
    <mergeCell ref="A151:A165"/>
    <mergeCell ref="B151:C151"/>
    <mergeCell ref="B156:C156"/>
    <mergeCell ref="B157:B165"/>
    <mergeCell ref="A143:A144"/>
    <mergeCell ref="A92:A109"/>
    <mergeCell ref="B110:C110"/>
    <mergeCell ref="B112:C112"/>
    <mergeCell ref="A113:A114"/>
    <mergeCell ref="B115:C115"/>
    <mergeCell ref="A116:A121"/>
    <mergeCell ref="B122:C122"/>
    <mergeCell ref="A123:A126"/>
    <mergeCell ref="B127:C127"/>
    <mergeCell ref="A128:A141"/>
    <mergeCell ref="B142:C142"/>
    <mergeCell ref="B91:C91"/>
    <mergeCell ref="A57:A69"/>
    <mergeCell ref="B57:C57"/>
    <mergeCell ref="B70:C70"/>
    <mergeCell ref="A71:A73"/>
    <mergeCell ref="B74:C74"/>
    <mergeCell ref="A75:A78"/>
    <mergeCell ref="B79:C79"/>
    <mergeCell ref="B81:C81"/>
    <mergeCell ref="A82:A85"/>
    <mergeCell ref="B86:C86"/>
    <mergeCell ref="A87:A90"/>
    <mergeCell ref="B56:C56"/>
    <mergeCell ref="B27:C27"/>
    <mergeCell ref="B29:C29"/>
    <mergeCell ref="A30:A33"/>
    <mergeCell ref="B34:C34"/>
    <mergeCell ref="B36:C36"/>
    <mergeCell ref="A37:A40"/>
    <mergeCell ref="B41:C41"/>
    <mergeCell ref="B43:C43"/>
    <mergeCell ref="A44:A49"/>
    <mergeCell ref="B50:C50"/>
    <mergeCell ref="A51:A55"/>
    <mergeCell ref="A11:A13"/>
    <mergeCell ref="B14:C14"/>
    <mergeCell ref="A15:A18"/>
    <mergeCell ref="B19:C19"/>
    <mergeCell ref="A20:A24"/>
    <mergeCell ref="B25:C25"/>
    <mergeCell ref="S2:S3"/>
    <mergeCell ref="B4:C4"/>
    <mergeCell ref="A5:A9"/>
    <mergeCell ref="B10:C10"/>
    <mergeCell ref="M2:M3"/>
    <mergeCell ref="N2:N3"/>
    <mergeCell ref="O2:O3"/>
    <mergeCell ref="P2:P3"/>
    <mergeCell ref="Q2:Q3"/>
    <mergeCell ref="R2:R3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workbookViewId="0">
      <selection activeCell="C59" sqref="C59"/>
    </sheetView>
  </sheetViews>
  <sheetFormatPr defaultRowHeight="15" x14ac:dyDescent="0.25"/>
  <cols>
    <col min="3" max="3" width="37.5703125" customWidth="1"/>
    <col min="4" max="11" width="11.7109375" hidden="1" customWidth="1"/>
    <col min="12" max="12" width="15.5703125" hidden="1" customWidth="1"/>
    <col min="13" max="14" width="14" hidden="1" customWidth="1"/>
    <col min="15" max="15" width="16.140625" hidden="1" customWidth="1"/>
    <col min="16" max="16" width="16.140625" customWidth="1"/>
    <col min="17" max="17" width="14" customWidth="1"/>
    <col min="18" max="18" width="13" customWidth="1"/>
    <col min="19" max="19" width="10.140625" customWidth="1"/>
    <col min="20" max="21" width="10.42578125" customWidth="1"/>
    <col min="259" max="259" width="37.5703125" customWidth="1"/>
    <col min="260" max="271" width="0" hidden="1" customWidth="1"/>
    <col min="272" max="272" width="16.140625" customWidth="1"/>
    <col min="273" max="273" width="14" customWidth="1"/>
    <col min="274" max="274" width="13" customWidth="1"/>
    <col min="275" max="275" width="10.140625" customWidth="1"/>
    <col min="276" max="277" width="10.42578125" customWidth="1"/>
    <col min="515" max="515" width="37.5703125" customWidth="1"/>
    <col min="516" max="527" width="0" hidden="1" customWidth="1"/>
    <col min="528" max="528" width="16.140625" customWidth="1"/>
    <col min="529" max="529" width="14" customWidth="1"/>
    <col min="530" max="530" width="13" customWidth="1"/>
    <col min="531" max="531" width="10.140625" customWidth="1"/>
    <col min="532" max="533" width="10.42578125" customWidth="1"/>
    <col min="771" max="771" width="37.5703125" customWidth="1"/>
    <col min="772" max="783" width="0" hidden="1" customWidth="1"/>
    <col min="784" max="784" width="16.140625" customWidth="1"/>
    <col min="785" max="785" width="14" customWidth="1"/>
    <col min="786" max="786" width="13" customWidth="1"/>
    <col min="787" max="787" width="10.140625" customWidth="1"/>
    <col min="788" max="789" width="10.42578125" customWidth="1"/>
    <col min="1027" max="1027" width="37.5703125" customWidth="1"/>
    <col min="1028" max="1039" width="0" hidden="1" customWidth="1"/>
    <col min="1040" max="1040" width="16.140625" customWidth="1"/>
    <col min="1041" max="1041" width="14" customWidth="1"/>
    <col min="1042" max="1042" width="13" customWidth="1"/>
    <col min="1043" max="1043" width="10.140625" customWidth="1"/>
    <col min="1044" max="1045" width="10.42578125" customWidth="1"/>
    <col min="1283" max="1283" width="37.5703125" customWidth="1"/>
    <col min="1284" max="1295" width="0" hidden="1" customWidth="1"/>
    <col min="1296" max="1296" width="16.140625" customWidth="1"/>
    <col min="1297" max="1297" width="14" customWidth="1"/>
    <col min="1298" max="1298" width="13" customWidth="1"/>
    <col min="1299" max="1299" width="10.140625" customWidth="1"/>
    <col min="1300" max="1301" width="10.42578125" customWidth="1"/>
    <col min="1539" max="1539" width="37.5703125" customWidth="1"/>
    <col min="1540" max="1551" width="0" hidden="1" customWidth="1"/>
    <col min="1552" max="1552" width="16.140625" customWidth="1"/>
    <col min="1553" max="1553" width="14" customWidth="1"/>
    <col min="1554" max="1554" width="13" customWidth="1"/>
    <col min="1555" max="1555" width="10.140625" customWidth="1"/>
    <col min="1556" max="1557" width="10.42578125" customWidth="1"/>
    <col min="1795" max="1795" width="37.5703125" customWidth="1"/>
    <col min="1796" max="1807" width="0" hidden="1" customWidth="1"/>
    <col min="1808" max="1808" width="16.140625" customWidth="1"/>
    <col min="1809" max="1809" width="14" customWidth="1"/>
    <col min="1810" max="1810" width="13" customWidth="1"/>
    <col min="1811" max="1811" width="10.140625" customWidth="1"/>
    <col min="1812" max="1813" width="10.42578125" customWidth="1"/>
    <col min="2051" max="2051" width="37.5703125" customWidth="1"/>
    <col min="2052" max="2063" width="0" hidden="1" customWidth="1"/>
    <col min="2064" max="2064" width="16.140625" customWidth="1"/>
    <col min="2065" max="2065" width="14" customWidth="1"/>
    <col min="2066" max="2066" width="13" customWidth="1"/>
    <col min="2067" max="2067" width="10.140625" customWidth="1"/>
    <col min="2068" max="2069" width="10.42578125" customWidth="1"/>
    <col min="2307" max="2307" width="37.5703125" customWidth="1"/>
    <col min="2308" max="2319" width="0" hidden="1" customWidth="1"/>
    <col min="2320" max="2320" width="16.140625" customWidth="1"/>
    <col min="2321" max="2321" width="14" customWidth="1"/>
    <col min="2322" max="2322" width="13" customWidth="1"/>
    <col min="2323" max="2323" width="10.140625" customWidth="1"/>
    <col min="2324" max="2325" width="10.42578125" customWidth="1"/>
    <col min="2563" max="2563" width="37.5703125" customWidth="1"/>
    <col min="2564" max="2575" width="0" hidden="1" customWidth="1"/>
    <col min="2576" max="2576" width="16.140625" customWidth="1"/>
    <col min="2577" max="2577" width="14" customWidth="1"/>
    <col min="2578" max="2578" width="13" customWidth="1"/>
    <col min="2579" max="2579" width="10.140625" customWidth="1"/>
    <col min="2580" max="2581" width="10.42578125" customWidth="1"/>
    <col min="2819" max="2819" width="37.5703125" customWidth="1"/>
    <col min="2820" max="2831" width="0" hidden="1" customWidth="1"/>
    <col min="2832" max="2832" width="16.140625" customWidth="1"/>
    <col min="2833" max="2833" width="14" customWidth="1"/>
    <col min="2834" max="2834" width="13" customWidth="1"/>
    <col min="2835" max="2835" width="10.140625" customWidth="1"/>
    <col min="2836" max="2837" width="10.42578125" customWidth="1"/>
    <col min="3075" max="3075" width="37.5703125" customWidth="1"/>
    <col min="3076" max="3087" width="0" hidden="1" customWidth="1"/>
    <col min="3088" max="3088" width="16.140625" customWidth="1"/>
    <col min="3089" max="3089" width="14" customWidth="1"/>
    <col min="3090" max="3090" width="13" customWidth="1"/>
    <col min="3091" max="3091" width="10.140625" customWidth="1"/>
    <col min="3092" max="3093" width="10.42578125" customWidth="1"/>
    <col min="3331" max="3331" width="37.5703125" customWidth="1"/>
    <col min="3332" max="3343" width="0" hidden="1" customWidth="1"/>
    <col min="3344" max="3344" width="16.140625" customWidth="1"/>
    <col min="3345" max="3345" width="14" customWidth="1"/>
    <col min="3346" max="3346" width="13" customWidth="1"/>
    <col min="3347" max="3347" width="10.140625" customWidth="1"/>
    <col min="3348" max="3349" width="10.42578125" customWidth="1"/>
    <col min="3587" max="3587" width="37.5703125" customWidth="1"/>
    <col min="3588" max="3599" width="0" hidden="1" customWidth="1"/>
    <col min="3600" max="3600" width="16.140625" customWidth="1"/>
    <col min="3601" max="3601" width="14" customWidth="1"/>
    <col min="3602" max="3602" width="13" customWidth="1"/>
    <col min="3603" max="3603" width="10.140625" customWidth="1"/>
    <col min="3604" max="3605" width="10.42578125" customWidth="1"/>
    <col min="3843" max="3843" width="37.5703125" customWidth="1"/>
    <col min="3844" max="3855" width="0" hidden="1" customWidth="1"/>
    <col min="3856" max="3856" width="16.140625" customWidth="1"/>
    <col min="3857" max="3857" width="14" customWidth="1"/>
    <col min="3858" max="3858" width="13" customWidth="1"/>
    <col min="3859" max="3859" width="10.140625" customWidth="1"/>
    <col min="3860" max="3861" width="10.42578125" customWidth="1"/>
    <col min="4099" max="4099" width="37.5703125" customWidth="1"/>
    <col min="4100" max="4111" width="0" hidden="1" customWidth="1"/>
    <col min="4112" max="4112" width="16.140625" customWidth="1"/>
    <col min="4113" max="4113" width="14" customWidth="1"/>
    <col min="4114" max="4114" width="13" customWidth="1"/>
    <col min="4115" max="4115" width="10.140625" customWidth="1"/>
    <col min="4116" max="4117" width="10.42578125" customWidth="1"/>
    <col min="4355" max="4355" width="37.5703125" customWidth="1"/>
    <col min="4356" max="4367" width="0" hidden="1" customWidth="1"/>
    <col min="4368" max="4368" width="16.140625" customWidth="1"/>
    <col min="4369" max="4369" width="14" customWidth="1"/>
    <col min="4370" max="4370" width="13" customWidth="1"/>
    <col min="4371" max="4371" width="10.140625" customWidth="1"/>
    <col min="4372" max="4373" width="10.42578125" customWidth="1"/>
    <col min="4611" max="4611" width="37.5703125" customWidth="1"/>
    <col min="4612" max="4623" width="0" hidden="1" customWidth="1"/>
    <col min="4624" max="4624" width="16.140625" customWidth="1"/>
    <col min="4625" max="4625" width="14" customWidth="1"/>
    <col min="4626" max="4626" width="13" customWidth="1"/>
    <col min="4627" max="4627" width="10.140625" customWidth="1"/>
    <col min="4628" max="4629" width="10.42578125" customWidth="1"/>
    <col min="4867" max="4867" width="37.5703125" customWidth="1"/>
    <col min="4868" max="4879" width="0" hidden="1" customWidth="1"/>
    <col min="4880" max="4880" width="16.140625" customWidth="1"/>
    <col min="4881" max="4881" width="14" customWidth="1"/>
    <col min="4882" max="4882" width="13" customWidth="1"/>
    <col min="4883" max="4883" width="10.140625" customWidth="1"/>
    <col min="4884" max="4885" width="10.42578125" customWidth="1"/>
    <col min="5123" max="5123" width="37.5703125" customWidth="1"/>
    <col min="5124" max="5135" width="0" hidden="1" customWidth="1"/>
    <col min="5136" max="5136" width="16.140625" customWidth="1"/>
    <col min="5137" max="5137" width="14" customWidth="1"/>
    <col min="5138" max="5138" width="13" customWidth="1"/>
    <col min="5139" max="5139" width="10.140625" customWidth="1"/>
    <col min="5140" max="5141" width="10.42578125" customWidth="1"/>
    <col min="5379" max="5379" width="37.5703125" customWidth="1"/>
    <col min="5380" max="5391" width="0" hidden="1" customWidth="1"/>
    <col min="5392" max="5392" width="16.140625" customWidth="1"/>
    <col min="5393" max="5393" width="14" customWidth="1"/>
    <col min="5394" max="5394" width="13" customWidth="1"/>
    <col min="5395" max="5395" width="10.140625" customWidth="1"/>
    <col min="5396" max="5397" width="10.42578125" customWidth="1"/>
    <col min="5635" max="5635" width="37.5703125" customWidth="1"/>
    <col min="5636" max="5647" width="0" hidden="1" customWidth="1"/>
    <col min="5648" max="5648" width="16.140625" customWidth="1"/>
    <col min="5649" max="5649" width="14" customWidth="1"/>
    <col min="5650" max="5650" width="13" customWidth="1"/>
    <col min="5651" max="5651" width="10.140625" customWidth="1"/>
    <col min="5652" max="5653" width="10.42578125" customWidth="1"/>
    <col min="5891" max="5891" width="37.5703125" customWidth="1"/>
    <col min="5892" max="5903" width="0" hidden="1" customWidth="1"/>
    <col min="5904" max="5904" width="16.140625" customWidth="1"/>
    <col min="5905" max="5905" width="14" customWidth="1"/>
    <col min="5906" max="5906" width="13" customWidth="1"/>
    <col min="5907" max="5907" width="10.140625" customWidth="1"/>
    <col min="5908" max="5909" width="10.42578125" customWidth="1"/>
    <col min="6147" max="6147" width="37.5703125" customWidth="1"/>
    <col min="6148" max="6159" width="0" hidden="1" customWidth="1"/>
    <col min="6160" max="6160" width="16.140625" customWidth="1"/>
    <col min="6161" max="6161" width="14" customWidth="1"/>
    <col min="6162" max="6162" width="13" customWidth="1"/>
    <col min="6163" max="6163" width="10.140625" customWidth="1"/>
    <col min="6164" max="6165" width="10.42578125" customWidth="1"/>
    <col min="6403" max="6403" width="37.5703125" customWidth="1"/>
    <col min="6404" max="6415" width="0" hidden="1" customWidth="1"/>
    <col min="6416" max="6416" width="16.140625" customWidth="1"/>
    <col min="6417" max="6417" width="14" customWidth="1"/>
    <col min="6418" max="6418" width="13" customWidth="1"/>
    <col min="6419" max="6419" width="10.140625" customWidth="1"/>
    <col min="6420" max="6421" width="10.42578125" customWidth="1"/>
    <col min="6659" max="6659" width="37.5703125" customWidth="1"/>
    <col min="6660" max="6671" width="0" hidden="1" customWidth="1"/>
    <col min="6672" max="6672" width="16.140625" customWidth="1"/>
    <col min="6673" max="6673" width="14" customWidth="1"/>
    <col min="6674" max="6674" width="13" customWidth="1"/>
    <col min="6675" max="6675" width="10.140625" customWidth="1"/>
    <col min="6676" max="6677" width="10.42578125" customWidth="1"/>
    <col min="6915" max="6915" width="37.5703125" customWidth="1"/>
    <col min="6916" max="6927" width="0" hidden="1" customWidth="1"/>
    <col min="6928" max="6928" width="16.140625" customWidth="1"/>
    <col min="6929" max="6929" width="14" customWidth="1"/>
    <col min="6930" max="6930" width="13" customWidth="1"/>
    <col min="6931" max="6931" width="10.140625" customWidth="1"/>
    <col min="6932" max="6933" width="10.42578125" customWidth="1"/>
    <col min="7171" max="7171" width="37.5703125" customWidth="1"/>
    <col min="7172" max="7183" width="0" hidden="1" customWidth="1"/>
    <col min="7184" max="7184" width="16.140625" customWidth="1"/>
    <col min="7185" max="7185" width="14" customWidth="1"/>
    <col min="7186" max="7186" width="13" customWidth="1"/>
    <col min="7187" max="7187" width="10.140625" customWidth="1"/>
    <col min="7188" max="7189" width="10.42578125" customWidth="1"/>
    <col min="7427" max="7427" width="37.5703125" customWidth="1"/>
    <col min="7428" max="7439" width="0" hidden="1" customWidth="1"/>
    <col min="7440" max="7440" width="16.140625" customWidth="1"/>
    <col min="7441" max="7441" width="14" customWidth="1"/>
    <col min="7442" max="7442" width="13" customWidth="1"/>
    <col min="7443" max="7443" width="10.140625" customWidth="1"/>
    <col min="7444" max="7445" width="10.42578125" customWidth="1"/>
    <col min="7683" max="7683" width="37.5703125" customWidth="1"/>
    <col min="7684" max="7695" width="0" hidden="1" customWidth="1"/>
    <col min="7696" max="7696" width="16.140625" customWidth="1"/>
    <col min="7697" max="7697" width="14" customWidth="1"/>
    <col min="7698" max="7698" width="13" customWidth="1"/>
    <col min="7699" max="7699" width="10.140625" customWidth="1"/>
    <col min="7700" max="7701" width="10.42578125" customWidth="1"/>
    <col min="7939" max="7939" width="37.5703125" customWidth="1"/>
    <col min="7940" max="7951" width="0" hidden="1" customWidth="1"/>
    <col min="7952" max="7952" width="16.140625" customWidth="1"/>
    <col min="7953" max="7953" width="14" customWidth="1"/>
    <col min="7954" max="7954" width="13" customWidth="1"/>
    <col min="7955" max="7955" width="10.140625" customWidth="1"/>
    <col min="7956" max="7957" width="10.42578125" customWidth="1"/>
    <col min="8195" max="8195" width="37.5703125" customWidth="1"/>
    <col min="8196" max="8207" width="0" hidden="1" customWidth="1"/>
    <col min="8208" max="8208" width="16.140625" customWidth="1"/>
    <col min="8209" max="8209" width="14" customWidth="1"/>
    <col min="8210" max="8210" width="13" customWidth="1"/>
    <col min="8211" max="8211" width="10.140625" customWidth="1"/>
    <col min="8212" max="8213" width="10.42578125" customWidth="1"/>
    <col min="8451" max="8451" width="37.5703125" customWidth="1"/>
    <col min="8452" max="8463" width="0" hidden="1" customWidth="1"/>
    <col min="8464" max="8464" width="16.140625" customWidth="1"/>
    <col min="8465" max="8465" width="14" customWidth="1"/>
    <col min="8466" max="8466" width="13" customWidth="1"/>
    <col min="8467" max="8467" width="10.140625" customWidth="1"/>
    <col min="8468" max="8469" width="10.42578125" customWidth="1"/>
    <col min="8707" max="8707" width="37.5703125" customWidth="1"/>
    <col min="8708" max="8719" width="0" hidden="1" customWidth="1"/>
    <col min="8720" max="8720" width="16.140625" customWidth="1"/>
    <col min="8721" max="8721" width="14" customWidth="1"/>
    <col min="8722" max="8722" width="13" customWidth="1"/>
    <col min="8723" max="8723" width="10.140625" customWidth="1"/>
    <col min="8724" max="8725" width="10.42578125" customWidth="1"/>
    <col min="8963" max="8963" width="37.5703125" customWidth="1"/>
    <col min="8964" max="8975" width="0" hidden="1" customWidth="1"/>
    <col min="8976" max="8976" width="16.140625" customWidth="1"/>
    <col min="8977" max="8977" width="14" customWidth="1"/>
    <col min="8978" max="8978" width="13" customWidth="1"/>
    <col min="8979" max="8979" width="10.140625" customWidth="1"/>
    <col min="8980" max="8981" width="10.42578125" customWidth="1"/>
    <col min="9219" max="9219" width="37.5703125" customWidth="1"/>
    <col min="9220" max="9231" width="0" hidden="1" customWidth="1"/>
    <col min="9232" max="9232" width="16.140625" customWidth="1"/>
    <col min="9233" max="9233" width="14" customWidth="1"/>
    <col min="9234" max="9234" width="13" customWidth="1"/>
    <col min="9235" max="9235" width="10.140625" customWidth="1"/>
    <col min="9236" max="9237" width="10.42578125" customWidth="1"/>
    <col min="9475" max="9475" width="37.5703125" customWidth="1"/>
    <col min="9476" max="9487" width="0" hidden="1" customWidth="1"/>
    <col min="9488" max="9488" width="16.140625" customWidth="1"/>
    <col min="9489" max="9489" width="14" customWidth="1"/>
    <col min="9490" max="9490" width="13" customWidth="1"/>
    <col min="9491" max="9491" width="10.140625" customWidth="1"/>
    <col min="9492" max="9493" width="10.42578125" customWidth="1"/>
    <col min="9731" max="9731" width="37.5703125" customWidth="1"/>
    <col min="9732" max="9743" width="0" hidden="1" customWidth="1"/>
    <col min="9744" max="9744" width="16.140625" customWidth="1"/>
    <col min="9745" max="9745" width="14" customWidth="1"/>
    <col min="9746" max="9746" width="13" customWidth="1"/>
    <col min="9747" max="9747" width="10.140625" customWidth="1"/>
    <col min="9748" max="9749" width="10.42578125" customWidth="1"/>
    <col min="9987" max="9987" width="37.5703125" customWidth="1"/>
    <col min="9988" max="9999" width="0" hidden="1" customWidth="1"/>
    <col min="10000" max="10000" width="16.140625" customWidth="1"/>
    <col min="10001" max="10001" width="14" customWidth="1"/>
    <col min="10002" max="10002" width="13" customWidth="1"/>
    <col min="10003" max="10003" width="10.140625" customWidth="1"/>
    <col min="10004" max="10005" width="10.42578125" customWidth="1"/>
    <col min="10243" max="10243" width="37.5703125" customWidth="1"/>
    <col min="10244" max="10255" width="0" hidden="1" customWidth="1"/>
    <col min="10256" max="10256" width="16.140625" customWidth="1"/>
    <col min="10257" max="10257" width="14" customWidth="1"/>
    <col min="10258" max="10258" width="13" customWidth="1"/>
    <col min="10259" max="10259" width="10.140625" customWidth="1"/>
    <col min="10260" max="10261" width="10.42578125" customWidth="1"/>
    <col min="10499" max="10499" width="37.5703125" customWidth="1"/>
    <col min="10500" max="10511" width="0" hidden="1" customWidth="1"/>
    <col min="10512" max="10512" width="16.140625" customWidth="1"/>
    <col min="10513" max="10513" width="14" customWidth="1"/>
    <col min="10514" max="10514" width="13" customWidth="1"/>
    <col min="10515" max="10515" width="10.140625" customWidth="1"/>
    <col min="10516" max="10517" width="10.42578125" customWidth="1"/>
    <col min="10755" max="10755" width="37.5703125" customWidth="1"/>
    <col min="10756" max="10767" width="0" hidden="1" customWidth="1"/>
    <col min="10768" max="10768" width="16.140625" customWidth="1"/>
    <col min="10769" max="10769" width="14" customWidth="1"/>
    <col min="10770" max="10770" width="13" customWidth="1"/>
    <col min="10771" max="10771" width="10.140625" customWidth="1"/>
    <col min="10772" max="10773" width="10.42578125" customWidth="1"/>
    <col min="11011" max="11011" width="37.5703125" customWidth="1"/>
    <col min="11012" max="11023" width="0" hidden="1" customWidth="1"/>
    <col min="11024" max="11024" width="16.140625" customWidth="1"/>
    <col min="11025" max="11025" width="14" customWidth="1"/>
    <col min="11026" max="11026" width="13" customWidth="1"/>
    <col min="11027" max="11027" width="10.140625" customWidth="1"/>
    <col min="11028" max="11029" width="10.42578125" customWidth="1"/>
    <col min="11267" max="11267" width="37.5703125" customWidth="1"/>
    <col min="11268" max="11279" width="0" hidden="1" customWidth="1"/>
    <col min="11280" max="11280" width="16.140625" customWidth="1"/>
    <col min="11281" max="11281" width="14" customWidth="1"/>
    <col min="11282" max="11282" width="13" customWidth="1"/>
    <col min="11283" max="11283" width="10.140625" customWidth="1"/>
    <col min="11284" max="11285" width="10.42578125" customWidth="1"/>
    <col min="11523" max="11523" width="37.5703125" customWidth="1"/>
    <col min="11524" max="11535" width="0" hidden="1" customWidth="1"/>
    <col min="11536" max="11536" width="16.140625" customWidth="1"/>
    <col min="11537" max="11537" width="14" customWidth="1"/>
    <col min="11538" max="11538" width="13" customWidth="1"/>
    <col min="11539" max="11539" width="10.140625" customWidth="1"/>
    <col min="11540" max="11541" width="10.42578125" customWidth="1"/>
    <col min="11779" max="11779" width="37.5703125" customWidth="1"/>
    <col min="11780" max="11791" width="0" hidden="1" customWidth="1"/>
    <col min="11792" max="11792" width="16.140625" customWidth="1"/>
    <col min="11793" max="11793" width="14" customWidth="1"/>
    <col min="11794" max="11794" width="13" customWidth="1"/>
    <col min="11795" max="11795" width="10.140625" customWidth="1"/>
    <col min="11796" max="11797" width="10.42578125" customWidth="1"/>
    <col min="12035" max="12035" width="37.5703125" customWidth="1"/>
    <col min="12036" max="12047" width="0" hidden="1" customWidth="1"/>
    <col min="12048" max="12048" width="16.140625" customWidth="1"/>
    <col min="12049" max="12049" width="14" customWidth="1"/>
    <col min="12050" max="12050" width="13" customWidth="1"/>
    <col min="12051" max="12051" width="10.140625" customWidth="1"/>
    <col min="12052" max="12053" width="10.42578125" customWidth="1"/>
    <col min="12291" max="12291" width="37.5703125" customWidth="1"/>
    <col min="12292" max="12303" width="0" hidden="1" customWidth="1"/>
    <col min="12304" max="12304" width="16.140625" customWidth="1"/>
    <col min="12305" max="12305" width="14" customWidth="1"/>
    <col min="12306" max="12306" width="13" customWidth="1"/>
    <col min="12307" max="12307" width="10.140625" customWidth="1"/>
    <col min="12308" max="12309" width="10.42578125" customWidth="1"/>
    <col min="12547" max="12547" width="37.5703125" customWidth="1"/>
    <col min="12548" max="12559" width="0" hidden="1" customWidth="1"/>
    <col min="12560" max="12560" width="16.140625" customWidth="1"/>
    <col min="12561" max="12561" width="14" customWidth="1"/>
    <col min="12562" max="12562" width="13" customWidth="1"/>
    <col min="12563" max="12563" width="10.140625" customWidth="1"/>
    <col min="12564" max="12565" width="10.42578125" customWidth="1"/>
    <col min="12803" max="12803" width="37.5703125" customWidth="1"/>
    <col min="12804" max="12815" width="0" hidden="1" customWidth="1"/>
    <col min="12816" max="12816" width="16.140625" customWidth="1"/>
    <col min="12817" max="12817" width="14" customWidth="1"/>
    <col min="12818" max="12818" width="13" customWidth="1"/>
    <col min="12819" max="12819" width="10.140625" customWidth="1"/>
    <col min="12820" max="12821" width="10.42578125" customWidth="1"/>
    <col min="13059" max="13059" width="37.5703125" customWidth="1"/>
    <col min="13060" max="13071" width="0" hidden="1" customWidth="1"/>
    <col min="13072" max="13072" width="16.140625" customWidth="1"/>
    <col min="13073" max="13073" width="14" customWidth="1"/>
    <col min="13074" max="13074" width="13" customWidth="1"/>
    <col min="13075" max="13075" width="10.140625" customWidth="1"/>
    <col min="13076" max="13077" width="10.42578125" customWidth="1"/>
    <col min="13315" max="13315" width="37.5703125" customWidth="1"/>
    <col min="13316" max="13327" width="0" hidden="1" customWidth="1"/>
    <col min="13328" max="13328" width="16.140625" customWidth="1"/>
    <col min="13329" max="13329" width="14" customWidth="1"/>
    <col min="13330" max="13330" width="13" customWidth="1"/>
    <col min="13331" max="13331" width="10.140625" customWidth="1"/>
    <col min="13332" max="13333" width="10.42578125" customWidth="1"/>
    <col min="13571" max="13571" width="37.5703125" customWidth="1"/>
    <col min="13572" max="13583" width="0" hidden="1" customWidth="1"/>
    <col min="13584" max="13584" width="16.140625" customWidth="1"/>
    <col min="13585" max="13585" width="14" customWidth="1"/>
    <col min="13586" max="13586" width="13" customWidth="1"/>
    <col min="13587" max="13587" width="10.140625" customWidth="1"/>
    <col min="13588" max="13589" width="10.42578125" customWidth="1"/>
    <col min="13827" max="13827" width="37.5703125" customWidth="1"/>
    <col min="13828" max="13839" width="0" hidden="1" customWidth="1"/>
    <col min="13840" max="13840" width="16.140625" customWidth="1"/>
    <col min="13841" max="13841" width="14" customWidth="1"/>
    <col min="13842" max="13842" width="13" customWidth="1"/>
    <col min="13843" max="13843" width="10.140625" customWidth="1"/>
    <col min="13844" max="13845" width="10.42578125" customWidth="1"/>
    <col min="14083" max="14083" width="37.5703125" customWidth="1"/>
    <col min="14084" max="14095" width="0" hidden="1" customWidth="1"/>
    <col min="14096" max="14096" width="16.140625" customWidth="1"/>
    <col min="14097" max="14097" width="14" customWidth="1"/>
    <col min="14098" max="14098" width="13" customWidth="1"/>
    <col min="14099" max="14099" width="10.140625" customWidth="1"/>
    <col min="14100" max="14101" width="10.42578125" customWidth="1"/>
    <col min="14339" max="14339" width="37.5703125" customWidth="1"/>
    <col min="14340" max="14351" width="0" hidden="1" customWidth="1"/>
    <col min="14352" max="14352" width="16.140625" customWidth="1"/>
    <col min="14353" max="14353" width="14" customWidth="1"/>
    <col min="14354" max="14354" width="13" customWidth="1"/>
    <col min="14355" max="14355" width="10.140625" customWidth="1"/>
    <col min="14356" max="14357" width="10.42578125" customWidth="1"/>
    <col min="14595" max="14595" width="37.5703125" customWidth="1"/>
    <col min="14596" max="14607" width="0" hidden="1" customWidth="1"/>
    <col min="14608" max="14608" width="16.140625" customWidth="1"/>
    <col min="14609" max="14609" width="14" customWidth="1"/>
    <col min="14610" max="14610" width="13" customWidth="1"/>
    <col min="14611" max="14611" width="10.140625" customWidth="1"/>
    <col min="14612" max="14613" width="10.42578125" customWidth="1"/>
    <col min="14851" max="14851" width="37.5703125" customWidth="1"/>
    <col min="14852" max="14863" width="0" hidden="1" customWidth="1"/>
    <col min="14864" max="14864" width="16.140625" customWidth="1"/>
    <col min="14865" max="14865" width="14" customWidth="1"/>
    <col min="14866" max="14866" width="13" customWidth="1"/>
    <col min="14867" max="14867" width="10.140625" customWidth="1"/>
    <col min="14868" max="14869" width="10.42578125" customWidth="1"/>
    <col min="15107" max="15107" width="37.5703125" customWidth="1"/>
    <col min="15108" max="15119" width="0" hidden="1" customWidth="1"/>
    <col min="15120" max="15120" width="16.140625" customWidth="1"/>
    <col min="15121" max="15121" width="14" customWidth="1"/>
    <col min="15122" max="15122" width="13" customWidth="1"/>
    <col min="15123" max="15123" width="10.140625" customWidth="1"/>
    <col min="15124" max="15125" width="10.42578125" customWidth="1"/>
    <col min="15363" max="15363" width="37.5703125" customWidth="1"/>
    <col min="15364" max="15375" width="0" hidden="1" customWidth="1"/>
    <col min="15376" max="15376" width="16.140625" customWidth="1"/>
    <col min="15377" max="15377" width="14" customWidth="1"/>
    <col min="15378" max="15378" width="13" customWidth="1"/>
    <col min="15379" max="15379" width="10.140625" customWidth="1"/>
    <col min="15380" max="15381" width="10.42578125" customWidth="1"/>
    <col min="15619" max="15619" width="37.5703125" customWidth="1"/>
    <col min="15620" max="15631" width="0" hidden="1" customWidth="1"/>
    <col min="15632" max="15632" width="16.140625" customWidth="1"/>
    <col min="15633" max="15633" width="14" customWidth="1"/>
    <col min="15634" max="15634" width="13" customWidth="1"/>
    <col min="15635" max="15635" width="10.140625" customWidth="1"/>
    <col min="15636" max="15637" width="10.42578125" customWidth="1"/>
    <col min="15875" max="15875" width="37.5703125" customWidth="1"/>
    <col min="15876" max="15887" width="0" hidden="1" customWidth="1"/>
    <col min="15888" max="15888" width="16.140625" customWidth="1"/>
    <col min="15889" max="15889" width="14" customWidth="1"/>
    <col min="15890" max="15890" width="13" customWidth="1"/>
    <col min="15891" max="15891" width="10.140625" customWidth="1"/>
    <col min="15892" max="15893" width="10.42578125" customWidth="1"/>
    <col min="16131" max="16131" width="37.5703125" customWidth="1"/>
    <col min="16132" max="16143" width="0" hidden="1" customWidth="1"/>
    <col min="16144" max="16144" width="16.140625" customWidth="1"/>
    <col min="16145" max="16145" width="14" customWidth="1"/>
    <col min="16146" max="16146" width="13" customWidth="1"/>
    <col min="16147" max="16147" width="10.140625" customWidth="1"/>
    <col min="16148" max="16149" width="10.42578125" customWidth="1"/>
  </cols>
  <sheetData>
    <row r="1" spans="1:21" x14ac:dyDescent="0.25">
      <c r="A1" s="857" t="s">
        <v>439</v>
      </c>
      <c r="B1" s="857"/>
      <c r="C1" s="857"/>
    </row>
    <row r="2" spans="1:21" ht="15.75" thickBot="1" x14ac:dyDescent="0.3">
      <c r="A2" s="834" t="s">
        <v>440</v>
      </c>
      <c r="B2" s="834"/>
      <c r="C2" s="834"/>
    </row>
    <row r="3" spans="1:21" ht="14.25" customHeight="1" thickTop="1" x14ac:dyDescent="0.25">
      <c r="A3" s="747" t="s">
        <v>0</v>
      </c>
      <c r="B3" s="749" t="s">
        <v>1</v>
      </c>
      <c r="C3" s="751" t="s">
        <v>2</v>
      </c>
      <c r="D3" s="751" t="s">
        <v>122</v>
      </c>
      <c r="E3" s="751" t="s">
        <v>123</v>
      </c>
      <c r="F3" s="751" t="s">
        <v>124</v>
      </c>
      <c r="G3" s="751" t="s">
        <v>125</v>
      </c>
      <c r="H3" s="751" t="s">
        <v>126</v>
      </c>
      <c r="I3" s="751" t="s">
        <v>8</v>
      </c>
      <c r="J3" s="751" t="s">
        <v>9</v>
      </c>
      <c r="K3" s="751" t="s">
        <v>10</v>
      </c>
      <c r="L3" s="751" t="s">
        <v>11</v>
      </c>
      <c r="M3" s="751" t="s">
        <v>12</v>
      </c>
      <c r="N3" s="751" t="s">
        <v>13</v>
      </c>
      <c r="O3" s="751" t="s">
        <v>14</v>
      </c>
      <c r="P3" s="751" t="s">
        <v>15</v>
      </c>
      <c r="Q3" s="751" t="s">
        <v>16</v>
      </c>
      <c r="R3" s="849" t="s">
        <v>17</v>
      </c>
      <c r="S3" s="791" t="s">
        <v>18</v>
      </c>
      <c r="T3" s="849" t="s">
        <v>426</v>
      </c>
      <c r="U3" s="854" t="s">
        <v>427</v>
      </c>
    </row>
    <row r="4" spans="1:21" ht="27.75" customHeight="1" thickBot="1" x14ac:dyDescent="0.3">
      <c r="A4" s="748"/>
      <c r="B4" s="750"/>
      <c r="C4" s="752"/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850"/>
      <c r="S4" s="792"/>
      <c r="T4" s="850"/>
      <c r="U4" s="855"/>
    </row>
    <row r="5" spans="1:21" ht="17.25" thickTop="1" thickBot="1" x14ac:dyDescent="0.3">
      <c r="A5" s="388">
        <v>200</v>
      </c>
      <c r="B5" s="793" t="s">
        <v>40</v>
      </c>
      <c r="C5" s="794"/>
      <c r="D5" s="389">
        <f>D6</f>
        <v>355009</v>
      </c>
      <c r="E5" s="389">
        <f>E6</f>
        <v>311359</v>
      </c>
      <c r="F5" s="389">
        <f>F6</f>
        <v>955255</v>
      </c>
      <c r="G5" s="389">
        <f>G6</f>
        <v>1090339</v>
      </c>
      <c r="H5" s="389">
        <f>H6</f>
        <v>496614</v>
      </c>
      <c r="I5" s="389">
        <f t="shared" ref="I5:U5" si="0">I6</f>
        <v>174771</v>
      </c>
      <c r="J5" s="389">
        <f t="shared" si="0"/>
        <v>74221</v>
      </c>
      <c r="K5" s="389">
        <f t="shared" si="0"/>
        <v>98051</v>
      </c>
      <c r="L5" s="389">
        <f t="shared" si="0"/>
        <v>223532.5</v>
      </c>
      <c r="M5" s="390">
        <f t="shared" si="0"/>
        <v>61991.15</v>
      </c>
      <c r="N5" s="389">
        <f t="shared" si="0"/>
        <v>87107.9</v>
      </c>
      <c r="O5" s="390">
        <f t="shared" si="0"/>
        <v>542510.87</v>
      </c>
      <c r="P5" s="390">
        <f>P6</f>
        <v>47974.47</v>
      </c>
      <c r="Q5" s="389">
        <f>Q6</f>
        <v>120000</v>
      </c>
      <c r="R5" s="389">
        <f>R6</f>
        <v>10000</v>
      </c>
      <c r="S5" s="390">
        <f t="shared" ref="S5:S54" si="1">IF(N5=0,0,R5/N5)</f>
        <v>0.11480015015859642</v>
      </c>
      <c r="T5" s="389">
        <f t="shared" si="0"/>
        <v>0</v>
      </c>
      <c r="U5" s="684">
        <f t="shared" si="0"/>
        <v>0</v>
      </c>
    </row>
    <row r="6" spans="1:21" ht="15.75" thickBot="1" x14ac:dyDescent="0.3">
      <c r="A6" s="391">
        <v>230</v>
      </c>
      <c r="B6" s="760" t="s">
        <v>288</v>
      </c>
      <c r="C6" s="761"/>
      <c r="D6" s="89">
        <f t="shared" ref="D6:R6" si="2">D7+D11</f>
        <v>355009</v>
      </c>
      <c r="E6" s="89">
        <f t="shared" si="2"/>
        <v>311359</v>
      </c>
      <c r="F6" s="89">
        <f t="shared" si="2"/>
        <v>955255</v>
      </c>
      <c r="G6" s="89">
        <f t="shared" si="2"/>
        <v>1090339</v>
      </c>
      <c r="H6" s="89">
        <f t="shared" si="2"/>
        <v>496614</v>
      </c>
      <c r="I6" s="89">
        <f t="shared" si="2"/>
        <v>174771</v>
      </c>
      <c r="J6" s="89">
        <f t="shared" si="2"/>
        <v>74221</v>
      </c>
      <c r="K6" s="89">
        <f t="shared" si="2"/>
        <v>98051</v>
      </c>
      <c r="L6" s="89">
        <f t="shared" si="2"/>
        <v>223532.5</v>
      </c>
      <c r="M6" s="125">
        <f t="shared" si="2"/>
        <v>61991.15</v>
      </c>
      <c r="N6" s="89">
        <f t="shared" si="2"/>
        <v>87107.9</v>
      </c>
      <c r="O6" s="125">
        <f t="shared" si="2"/>
        <v>542510.87</v>
      </c>
      <c r="P6" s="125">
        <f t="shared" si="2"/>
        <v>47974.47</v>
      </c>
      <c r="Q6" s="125">
        <f t="shared" si="2"/>
        <v>120000</v>
      </c>
      <c r="R6" s="87">
        <f t="shared" si="2"/>
        <v>10000</v>
      </c>
      <c r="S6" s="88">
        <f t="shared" si="1"/>
        <v>0.11480015015859642</v>
      </c>
      <c r="T6" s="87">
        <f>T7+T11</f>
        <v>0</v>
      </c>
      <c r="U6" s="636">
        <f>U7+U11</f>
        <v>0</v>
      </c>
    </row>
    <row r="7" spans="1:21" ht="15.75" thickBot="1" x14ac:dyDescent="0.3">
      <c r="A7" s="755"/>
      <c r="B7" s="392">
        <v>231</v>
      </c>
      <c r="C7" s="81" t="s">
        <v>289</v>
      </c>
      <c r="D7" s="85">
        <f t="shared" ref="D7:R7" si="3">SUM(D8:D10)</f>
        <v>351125</v>
      </c>
      <c r="E7" s="85">
        <f t="shared" si="3"/>
        <v>106121</v>
      </c>
      <c r="F7" s="85">
        <f t="shared" si="3"/>
        <v>227246</v>
      </c>
      <c r="G7" s="85">
        <f t="shared" si="3"/>
        <v>45397</v>
      </c>
      <c r="H7" s="85">
        <f t="shared" si="3"/>
        <v>103200</v>
      </c>
      <c r="I7" s="85">
        <f t="shared" si="3"/>
        <v>85320</v>
      </c>
      <c r="J7" s="85">
        <f t="shared" si="3"/>
        <v>21933</v>
      </c>
      <c r="K7" s="85">
        <f t="shared" si="3"/>
        <v>32153</v>
      </c>
      <c r="L7" s="85">
        <f>SUM(L8:L10)</f>
        <v>84811.72</v>
      </c>
      <c r="M7" s="90">
        <f>SUM(M8:M10)</f>
        <v>23898.959999999999</v>
      </c>
      <c r="N7" s="85">
        <f>SUM(N8:N10)</f>
        <v>33003</v>
      </c>
      <c r="O7" s="90">
        <f>SUM(O8:O10)</f>
        <v>255643.36</v>
      </c>
      <c r="P7" s="90">
        <v>0</v>
      </c>
      <c r="Q7" s="85">
        <v>0</v>
      </c>
      <c r="R7" s="83">
        <f t="shared" si="3"/>
        <v>0</v>
      </c>
      <c r="S7" s="84">
        <f t="shared" si="1"/>
        <v>0</v>
      </c>
      <c r="T7" s="83">
        <f>SUM(T8:T10)</f>
        <v>0</v>
      </c>
      <c r="U7" s="634">
        <f>SUM(U8:U10)</f>
        <v>0</v>
      </c>
    </row>
    <row r="8" spans="1:21" x14ac:dyDescent="0.25">
      <c r="A8" s="756"/>
      <c r="B8" s="764"/>
      <c r="C8" s="393" t="s">
        <v>290</v>
      </c>
      <c r="D8" s="394">
        <v>192923</v>
      </c>
      <c r="E8" s="394">
        <v>101839</v>
      </c>
      <c r="F8" s="394">
        <v>227246</v>
      </c>
      <c r="G8" s="394">
        <v>45397</v>
      </c>
      <c r="H8" s="394">
        <v>103200</v>
      </c>
      <c r="I8" s="115">
        <v>85320</v>
      </c>
      <c r="J8" s="47">
        <v>21933</v>
      </c>
      <c r="K8" s="49">
        <v>23657</v>
      </c>
      <c r="L8" s="49">
        <v>83346.52</v>
      </c>
      <c r="M8" s="48">
        <v>19336.16</v>
      </c>
      <c r="N8" s="49">
        <v>33003</v>
      </c>
      <c r="O8" s="48">
        <v>251642.36</v>
      </c>
      <c r="P8" s="48"/>
      <c r="Q8" s="49"/>
      <c r="R8" s="76"/>
      <c r="S8" s="95">
        <f t="shared" si="1"/>
        <v>0</v>
      </c>
      <c r="T8" s="76"/>
      <c r="U8" s="395"/>
    </row>
    <row r="9" spans="1:21" x14ac:dyDescent="0.25">
      <c r="A9" s="756"/>
      <c r="B9" s="765"/>
      <c r="C9" s="62" t="s">
        <v>291</v>
      </c>
      <c r="D9" s="396"/>
      <c r="E9" s="396"/>
      <c r="F9" s="396"/>
      <c r="G9" s="396"/>
      <c r="H9" s="396"/>
      <c r="I9" s="397"/>
      <c r="J9" s="398"/>
      <c r="K9" s="93"/>
      <c r="L9" s="131"/>
      <c r="M9" s="48">
        <v>4562.8</v>
      </c>
      <c r="N9" s="49"/>
      <c r="O9" s="48"/>
      <c r="P9" s="48"/>
      <c r="Q9" s="49"/>
      <c r="R9" s="76"/>
      <c r="S9" s="95">
        <f t="shared" si="1"/>
        <v>0</v>
      </c>
      <c r="T9" s="76"/>
      <c r="U9" s="395"/>
    </row>
    <row r="10" spans="1:21" ht="15.75" thickBot="1" x14ac:dyDescent="0.3">
      <c r="A10" s="756"/>
      <c r="B10" s="766"/>
      <c r="C10" s="208" t="s">
        <v>292</v>
      </c>
      <c r="D10" s="78">
        <v>158202</v>
      </c>
      <c r="E10" s="78">
        <v>4282</v>
      </c>
      <c r="F10" s="78">
        <v>0</v>
      </c>
      <c r="G10" s="78"/>
      <c r="H10" s="78"/>
      <c r="I10" s="78"/>
      <c r="J10" s="78"/>
      <c r="K10" s="33">
        <v>8496</v>
      </c>
      <c r="L10" s="49">
        <v>1465.2</v>
      </c>
      <c r="M10" s="93"/>
      <c r="N10" s="93"/>
      <c r="O10" s="92">
        <v>4001</v>
      </c>
      <c r="P10" s="92"/>
      <c r="Q10" s="93"/>
      <c r="R10" s="76"/>
      <c r="S10" s="95">
        <f t="shared" si="1"/>
        <v>0</v>
      </c>
      <c r="T10" s="76"/>
      <c r="U10" s="395"/>
    </row>
    <row r="11" spans="1:21" ht="15.75" thickBot="1" x14ac:dyDescent="0.3">
      <c r="A11" s="756"/>
      <c r="B11" s="399">
        <v>233</v>
      </c>
      <c r="C11" s="80" t="s">
        <v>293</v>
      </c>
      <c r="D11" s="85">
        <f t="shared" ref="D11:R11" si="4">SUM(D12:D16)</f>
        <v>3884</v>
      </c>
      <c r="E11" s="85">
        <f t="shared" si="4"/>
        <v>205238</v>
      </c>
      <c r="F11" s="85">
        <f t="shared" si="4"/>
        <v>728009</v>
      </c>
      <c r="G11" s="85">
        <f t="shared" si="4"/>
        <v>1044942</v>
      </c>
      <c r="H11" s="85">
        <f t="shared" si="4"/>
        <v>393414</v>
      </c>
      <c r="I11" s="85">
        <f t="shared" si="4"/>
        <v>89451</v>
      </c>
      <c r="J11" s="85">
        <f t="shared" si="4"/>
        <v>52288</v>
      </c>
      <c r="K11" s="85">
        <f t="shared" si="4"/>
        <v>65898</v>
      </c>
      <c r="L11" s="85">
        <f t="shared" si="4"/>
        <v>138720.78</v>
      </c>
      <c r="M11" s="90">
        <f t="shared" si="4"/>
        <v>38092.19</v>
      </c>
      <c r="N11" s="85">
        <f t="shared" si="4"/>
        <v>54104.9</v>
      </c>
      <c r="O11" s="90">
        <f>SUM(O12:O16)</f>
        <v>286867.51</v>
      </c>
      <c r="P11" s="85">
        <f>SUM(P12:P16)</f>
        <v>47974.47</v>
      </c>
      <c r="Q11" s="85">
        <f>SUM(Q12:Q16)</f>
        <v>120000</v>
      </c>
      <c r="R11" s="83">
        <f t="shared" si="4"/>
        <v>10000</v>
      </c>
      <c r="S11" s="84">
        <f t="shared" si="1"/>
        <v>0.18482614328831584</v>
      </c>
      <c r="T11" s="83">
        <f>SUM(T12:T16)</f>
        <v>0</v>
      </c>
      <c r="U11" s="634">
        <f>SUM(U12:U16)</f>
        <v>0</v>
      </c>
    </row>
    <row r="12" spans="1:21" ht="15.75" thickBot="1" x14ac:dyDescent="0.3">
      <c r="A12" s="756"/>
      <c r="B12" s="764"/>
      <c r="C12" s="60" t="s">
        <v>294</v>
      </c>
      <c r="D12" s="75">
        <v>3884</v>
      </c>
      <c r="E12" s="75">
        <v>205238</v>
      </c>
      <c r="F12" s="75">
        <v>728009</v>
      </c>
      <c r="G12" s="75">
        <v>98695</v>
      </c>
      <c r="H12" s="75">
        <v>393414</v>
      </c>
      <c r="I12" s="75">
        <v>89451</v>
      </c>
      <c r="J12" s="49">
        <v>52288</v>
      </c>
      <c r="K12" s="49">
        <v>65898</v>
      </c>
      <c r="L12" s="49">
        <v>138720.78</v>
      </c>
      <c r="M12" s="400">
        <v>38092.19</v>
      </c>
      <c r="N12" s="401">
        <v>54104.9</v>
      </c>
      <c r="O12" s="402">
        <v>286867.51</v>
      </c>
      <c r="P12" s="402">
        <v>47974.47</v>
      </c>
      <c r="Q12" s="401">
        <v>120000</v>
      </c>
      <c r="R12" s="76">
        <v>10000</v>
      </c>
      <c r="S12" s="95">
        <f t="shared" si="1"/>
        <v>0.18482614328831584</v>
      </c>
      <c r="T12" s="76"/>
      <c r="U12" s="395"/>
    </row>
    <row r="13" spans="1:21" ht="15.75" hidden="1" thickBot="1" x14ac:dyDescent="0.3">
      <c r="A13" s="756"/>
      <c r="B13" s="765"/>
      <c r="C13" s="403" t="s">
        <v>295</v>
      </c>
      <c r="D13" s="404"/>
      <c r="E13" s="404"/>
      <c r="F13" s="404"/>
      <c r="G13" s="404"/>
      <c r="H13" s="404"/>
      <c r="I13" s="404"/>
      <c r="J13" s="404"/>
      <c r="K13" s="133"/>
      <c r="L13" s="405"/>
      <c r="M13" s="405"/>
      <c r="N13" s="405"/>
      <c r="O13" s="406"/>
      <c r="P13" s="406"/>
      <c r="Q13" s="405"/>
      <c r="R13" s="407"/>
      <c r="S13" s="408">
        <f t="shared" si="1"/>
        <v>0</v>
      </c>
      <c r="T13" s="407"/>
      <c r="U13" s="685"/>
    </row>
    <row r="14" spans="1:21" ht="15.75" hidden="1" thickBot="1" x14ac:dyDescent="0.3">
      <c r="A14" s="756"/>
      <c r="B14" s="765"/>
      <c r="C14" s="403" t="s">
        <v>296</v>
      </c>
      <c r="D14" s="404"/>
      <c r="E14" s="404"/>
      <c r="F14" s="404"/>
      <c r="G14" s="404"/>
      <c r="H14" s="404"/>
      <c r="I14" s="404"/>
      <c r="J14" s="404"/>
      <c r="K14" s="133"/>
      <c r="L14" s="48"/>
      <c r="M14" s="405"/>
      <c r="N14" s="405"/>
      <c r="O14" s="406"/>
      <c r="P14" s="406"/>
      <c r="Q14" s="405"/>
      <c r="R14" s="407"/>
      <c r="S14" s="408">
        <f t="shared" si="1"/>
        <v>0</v>
      </c>
      <c r="T14" s="407"/>
      <c r="U14" s="685"/>
    </row>
    <row r="15" spans="1:21" ht="15.75" hidden="1" thickBot="1" x14ac:dyDescent="0.3">
      <c r="A15" s="756"/>
      <c r="B15" s="765"/>
      <c r="C15" s="403" t="s">
        <v>297</v>
      </c>
      <c r="D15" s="404"/>
      <c r="E15" s="404"/>
      <c r="F15" s="404"/>
      <c r="G15" s="404"/>
      <c r="H15" s="404"/>
      <c r="I15" s="404"/>
      <c r="J15" s="404"/>
      <c r="K15" s="133"/>
      <c r="L15" s="405"/>
      <c r="M15" s="405"/>
      <c r="N15" s="405"/>
      <c r="O15" s="406"/>
      <c r="P15" s="406"/>
      <c r="Q15" s="405"/>
      <c r="R15" s="407"/>
      <c r="S15" s="408">
        <f t="shared" si="1"/>
        <v>0</v>
      </c>
      <c r="T15" s="407"/>
      <c r="U15" s="685"/>
    </row>
    <row r="16" spans="1:21" ht="15.75" hidden="1" thickBot="1" x14ac:dyDescent="0.3">
      <c r="A16" s="756"/>
      <c r="B16" s="766"/>
      <c r="C16" s="409" t="s">
        <v>298</v>
      </c>
      <c r="D16" s="78"/>
      <c r="E16" s="78"/>
      <c r="F16" s="78"/>
      <c r="G16" s="78">
        <v>946247</v>
      </c>
      <c r="H16" s="78"/>
      <c r="I16" s="78"/>
      <c r="J16" s="78"/>
      <c r="K16" s="33"/>
      <c r="L16" s="93"/>
      <c r="M16" s="93"/>
      <c r="N16" s="93"/>
      <c r="O16" s="92"/>
      <c r="P16" s="92"/>
      <c r="Q16" s="93"/>
      <c r="R16" s="76"/>
      <c r="S16" s="95">
        <f t="shared" si="1"/>
        <v>0</v>
      </c>
      <c r="T16" s="76"/>
      <c r="U16" s="395"/>
    </row>
    <row r="17" spans="1:21" ht="16.5" thickBot="1" x14ac:dyDescent="0.3">
      <c r="A17" s="410">
        <v>300</v>
      </c>
      <c r="B17" s="781" t="s">
        <v>80</v>
      </c>
      <c r="C17" s="856"/>
      <c r="D17" s="411">
        <f>D18+D50</f>
        <v>1758083</v>
      </c>
      <c r="E17" s="411">
        <f>E18+E50</f>
        <v>706599</v>
      </c>
      <c r="F17" s="411">
        <f>F18+F50</f>
        <v>290114</v>
      </c>
      <c r="G17" s="411">
        <f>G18+G50</f>
        <v>3301074</v>
      </c>
      <c r="H17" s="411">
        <v>2959527</v>
      </c>
      <c r="I17" s="411">
        <f t="shared" ref="I17:R17" si="5">I18+I50</f>
        <v>4474942</v>
      </c>
      <c r="J17" s="411">
        <f t="shared" si="5"/>
        <v>4428553.0599999996</v>
      </c>
      <c r="K17" s="411">
        <f t="shared" si="5"/>
        <v>3580446</v>
      </c>
      <c r="L17" s="411">
        <f t="shared" si="5"/>
        <v>994806.09</v>
      </c>
      <c r="M17" s="412">
        <f t="shared" si="5"/>
        <v>690306.37</v>
      </c>
      <c r="N17" s="411">
        <f t="shared" si="5"/>
        <v>848428.28</v>
      </c>
      <c r="O17" s="412">
        <f>O18+O50</f>
        <v>1153730.93</v>
      </c>
      <c r="P17" s="412">
        <f>P18+P50</f>
        <v>2075273.05</v>
      </c>
      <c r="Q17" s="411">
        <f>Q18+Q50</f>
        <v>1764232</v>
      </c>
      <c r="R17" s="413">
        <f t="shared" si="5"/>
        <v>150000</v>
      </c>
      <c r="S17" s="414">
        <f t="shared" si="1"/>
        <v>0.17679750137513095</v>
      </c>
      <c r="T17" s="413">
        <f>T18+T50</f>
        <v>0</v>
      </c>
      <c r="U17" s="686">
        <f>U18+U50</f>
        <v>0</v>
      </c>
    </row>
    <row r="18" spans="1:21" ht="15.75" thickBot="1" x14ac:dyDescent="0.3">
      <c r="A18" s="391">
        <v>320</v>
      </c>
      <c r="B18" s="760" t="s">
        <v>299</v>
      </c>
      <c r="C18" s="761"/>
      <c r="D18" s="415">
        <f>D19</f>
        <v>1758083</v>
      </c>
      <c r="E18" s="415">
        <f>E19</f>
        <v>706599</v>
      </c>
      <c r="F18" s="415">
        <f>F19</f>
        <v>290114</v>
      </c>
      <c r="G18" s="415">
        <f>G19</f>
        <v>3301074</v>
      </c>
      <c r="H18" s="415">
        <v>2959527</v>
      </c>
      <c r="I18" s="415">
        <f t="shared" ref="I18:U18" si="6">I19</f>
        <v>4417142</v>
      </c>
      <c r="J18" s="415">
        <f t="shared" si="6"/>
        <v>4408068.0599999996</v>
      </c>
      <c r="K18" s="415">
        <f t="shared" si="6"/>
        <v>3580446</v>
      </c>
      <c r="L18" s="415">
        <f t="shared" si="6"/>
        <v>994806.09</v>
      </c>
      <c r="M18" s="416">
        <f t="shared" si="6"/>
        <v>690306.37</v>
      </c>
      <c r="N18" s="417">
        <f t="shared" si="6"/>
        <v>848428.28</v>
      </c>
      <c r="O18" s="418">
        <f t="shared" si="6"/>
        <v>1153730.93</v>
      </c>
      <c r="P18" s="417">
        <f t="shared" si="6"/>
        <v>2075273.05</v>
      </c>
      <c r="Q18" s="417">
        <v>1764232</v>
      </c>
      <c r="R18" s="417">
        <f t="shared" si="6"/>
        <v>150000</v>
      </c>
      <c r="S18" s="418">
        <f t="shared" si="1"/>
        <v>0.17679750137513095</v>
      </c>
      <c r="T18" s="417">
        <f t="shared" si="6"/>
        <v>0</v>
      </c>
      <c r="U18" s="687">
        <f t="shared" si="6"/>
        <v>0</v>
      </c>
    </row>
    <row r="19" spans="1:21" ht="13.5" customHeight="1" thickBot="1" x14ac:dyDescent="0.3">
      <c r="A19" s="851"/>
      <c r="B19" s="399">
        <v>321</v>
      </c>
      <c r="C19" s="80" t="s">
        <v>82</v>
      </c>
      <c r="D19" s="81">
        <v>1758083</v>
      </c>
      <c r="E19" s="81">
        <v>706599</v>
      </c>
      <c r="F19" s="81">
        <v>290114</v>
      </c>
      <c r="G19" s="81">
        <v>3301074</v>
      </c>
      <c r="H19" s="81">
        <v>2959527</v>
      </c>
      <c r="I19" s="59">
        <v>4417142</v>
      </c>
      <c r="J19" s="59">
        <v>4408068.0599999996</v>
      </c>
      <c r="K19" s="59">
        <v>3580446</v>
      </c>
      <c r="L19" s="59">
        <v>994806.09</v>
      </c>
      <c r="M19" s="129">
        <f>SUM(M20:M49)</f>
        <v>690306.37</v>
      </c>
      <c r="N19" s="59">
        <f>SUM(N20:N49)</f>
        <v>848428.28</v>
      </c>
      <c r="O19" s="129">
        <v>1153730.93</v>
      </c>
      <c r="P19" s="129">
        <v>2075273.05</v>
      </c>
      <c r="Q19" s="59">
        <v>1764232</v>
      </c>
      <c r="R19" s="57">
        <f>SUM(R20:R49)</f>
        <v>150000</v>
      </c>
      <c r="S19" s="58">
        <f t="shared" si="1"/>
        <v>0.17679750137513095</v>
      </c>
      <c r="T19" s="57">
        <f>SUM(T20:T49)</f>
        <v>0</v>
      </c>
      <c r="U19" s="629">
        <f>SUM(U20:U49)</f>
        <v>0</v>
      </c>
    </row>
    <row r="20" spans="1:21" ht="15.75" customHeight="1" x14ac:dyDescent="0.25">
      <c r="A20" s="852"/>
      <c r="B20" s="858"/>
      <c r="C20" s="17" t="s">
        <v>300</v>
      </c>
      <c r="D20" s="115"/>
      <c r="E20" s="115"/>
      <c r="F20" s="115"/>
      <c r="G20" s="115"/>
      <c r="H20" s="115"/>
      <c r="I20" s="115"/>
      <c r="J20" s="115"/>
      <c r="K20" s="47"/>
      <c r="L20" s="234"/>
      <c r="M20" s="234">
        <v>66064.149999999994</v>
      </c>
      <c r="N20" s="47"/>
      <c r="O20" s="47"/>
      <c r="P20" s="47"/>
      <c r="Q20" s="47"/>
      <c r="R20" s="76">
        <v>100000</v>
      </c>
      <c r="S20" s="95">
        <f t="shared" si="1"/>
        <v>0</v>
      </c>
      <c r="T20" s="76"/>
      <c r="U20" s="395"/>
    </row>
    <row r="21" spans="1:21" ht="15.75" customHeight="1" x14ac:dyDescent="0.25">
      <c r="A21" s="852"/>
      <c r="B21" s="858"/>
      <c r="C21" s="46" t="s">
        <v>301</v>
      </c>
      <c r="D21" s="115"/>
      <c r="E21" s="115"/>
      <c r="F21" s="115"/>
      <c r="G21" s="115"/>
      <c r="H21" s="115"/>
      <c r="I21" s="115"/>
      <c r="J21" s="115"/>
      <c r="K21" s="47"/>
      <c r="L21" s="234"/>
      <c r="M21" s="234">
        <v>58454.17</v>
      </c>
      <c r="N21" s="47"/>
      <c r="O21" s="47"/>
      <c r="P21" s="47"/>
      <c r="Q21" s="47"/>
      <c r="R21" s="76">
        <v>50000</v>
      </c>
      <c r="S21" s="95">
        <f t="shared" si="1"/>
        <v>0</v>
      </c>
      <c r="T21" s="76"/>
      <c r="U21" s="395"/>
    </row>
    <row r="22" spans="1:21" ht="15.75" customHeight="1" x14ac:dyDescent="0.25">
      <c r="A22" s="852"/>
      <c r="B22" s="858"/>
      <c r="C22" s="46"/>
      <c r="D22" s="75"/>
      <c r="E22" s="75"/>
      <c r="F22" s="75"/>
      <c r="G22" s="75"/>
      <c r="H22" s="75"/>
      <c r="I22" s="75"/>
      <c r="J22" s="75"/>
      <c r="K22" s="47"/>
      <c r="L22" s="234"/>
      <c r="M22" s="234"/>
      <c r="N22" s="47"/>
      <c r="O22" s="47"/>
      <c r="P22" s="47"/>
      <c r="Q22" s="47"/>
      <c r="R22" s="76"/>
      <c r="S22" s="95">
        <f t="shared" si="1"/>
        <v>0</v>
      </c>
      <c r="T22" s="76"/>
      <c r="U22" s="395"/>
    </row>
    <row r="23" spans="1:21" ht="15.75" customHeight="1" x14ac:dyDescent="0.25">
      <c r="A23" s="852"/>
      <c r="B23" s="858"/>
      <c r="C23" s="46"/>
      <c r="D23" s="46"/>
      <c r="E23" s="46"/>
      <c r="F23" s="46"/>
      <c r="G23" s="46"/>
      <c r="H23" s="46">
        <v>341897</v>
      </c>
      <c r="I23" s="116">
        <v>341897</v>
      </c>
      <c r="J23" s="116">
        <v>344900</v>
      </c>
      <c r="K23" s="25">
        <v>341900</v>
      </c>
      <c r="L23" s="49">
        <v>341900</v>
      </c>
      <c r="M23" s="234">
        <v>340000</v>
      </c>
      <c r="N23" s="47">
        <v>340000</v>
      </c>
      <c r="O23" s="47"/>
      <c r="P23" s="47"/>
      <c r="Q23" s="47"/>
      <c r="R23" s="76"/>
      <c r="S23" s="95">
        <f t="shared" si="1"/>
        <v>0</v>
      </c>
      <c r="T23" s="76"/>
      <c r="U23" s="395"/>
    </row>
    <row r="24" spans="1:21" ht="15.75" customHeight="1" thickBot="1" x14ac:dyDescent="0.3">
      <c r="A24" s="852"/>
      <c r="B24" s="858"/>
      <c r="C24" s="62"/>
      <c r="D24" s="77"/>
      <c r="E24" s="77"/>
      <c r="F24" s="77"/>
      <c r="G24" s="77"/>
      <c r="H24" s="77"/>
      <c r="I24" s="77"/>
      <c r="J24" s="77"/>
      <c r="K24" s="25"/>
      <c r="L24" s="49">
        <v>68448.02</v>
      </c>
      <c r="M24" s="234">
        <v>6610.12</v>
      </c>
      <c r="N24" s="47"/>
      <c r="O24" s="47"/>
      <c r="P24" s="47"/>
      <c r="Q24" s="47">
        <v>0</v>
      </c>
      <c r="R24" s="76"/>
      <c r="S24" s="95">
        <f t="shared" si="1"/>
        <v>0</v>
      </c>
      <c r="T24" s="76"/>
      <c r="U24" s="395"/>
    </row>
    <row r="25" spans="1:21" ht="15.75" hidden="1" customHeight="1" x14ac:dyDescent="0.25">
      <c r="A25" s="852"/>
      <c r="B25" s="858"/>
      <c r="C25" s="62"/>
      <c r="D25" s="77"/>
      <c r="E25" s="77"/>
      <c r="F25" s="77"/>
      <c r="G25" s="77"/>
      <c r="H25" s="77"/>
      <c r="I25" s="77"/>
      <c r="J25" s="77"/>
      <c r="K25" s="25"/>
      <c r="L25" s="234"/>
      <c r="M25" s="234">
        <v>9000</v>
      </c>
      <c r="N25" s="47"/>
      <c r="O25" s="47"/>
      <c r="P25" s="47"/>
      <c r="Q25" s="47">
        <v>0</v>
      </c>
      <c r="R25" s="76"/>
      <c r="S25" s="95">
        <f t="shared" si="1"/>
        <v>0</v>
      </c>
      <c r="T25" s="76"/>
      <c r="U25" s="395"/>
    </row>
    <row r="26" spans="1:21" ht="15.75" hidden="1" customHeight="1" x14ac:dyDescent="0.25">
      <c r="A26" s="852"/>
      <c r="B26" s="858"/>
      <c r="C26" s="419"/>
      <c r="D26" s="420"/>
      <c r="E26" s="420"/>
      <c r="F26" s="420"/>
      <c r="G26" s="420"/>
      <c r="H26" s="420"/>
      <c r="I26" s="77"/>
      <c r="J26" s="77"/>
      <c r="K26" s="25"/>
      <c r="L26" s="234"/>
      <c r="M26" s="234">
        <v>8142.7</v>
      </c>
      <c r="N26" s="47"/>
      <c r="O26" s="47"/>
      <c r="P26" s="47"/>
      <c r="Q26" s="47">
        <v>0</v>
      </c>
      <c r="R26" s="76"/>
      <c r="S26" s="95">
        <f t="shared" si="1"/>
        <v>0</v>
      </c>
      <c r="T26" s="76"/>
      <c r="U26" s="395"/>
    </row>
    <row r="27" spans="1:21" ht="15.75" hidden="1" customHeight="1" x14ac:dyDescent="0.25">
      <c r="A27" s="852"/>
      <c r="B27" s="858"/>
      <c r="C27" s="62"/>
      <c r="D27" s="77"/>
      <c r="E27" s="77"/>
      <c r="F27" s="77"/>
      <c r="G27" s="77"/>
      <c r="H27" s="77"/>
      <c r="I27" s="77"/>
      <c r="J27" s="77"/>
      <c r="K27" s="25"/>
      <c r="L27" s="118"/>
      <c r="M27" s="25"/>
      <c r="N27" s="25">
        <v>5221.3999999999996</v>
      </c>
      <c r="O27" s="63"/>
      <c r="P27" s="63"/>
      <c r="Q27" s="63">
        <v>0</v>
      </c>
      <c r="R27" s="63"/>
      <c r="S27" s="131">
        <f t="shared" si="1"/>
        <v>0</v>
      </c>
      <c r="T27" s="63"/>
      <c r="U27" s="421"/>
    </row>
    <row r="28" spans="1:21" ht="15.75" hidden="1" customHeight="1" x14ac:dyDescent="0.25">
      <c r="A28" s="852"/>
      <c r="B28" s="858"/>
      <c r="C28" s="62"/>
      <c r="D28" s="77"/>
      <c r="E28" s="77"/>
      <c r="F28" s="77"/>
      <c r="G28" s="77"/>
      <c r="H28" s="77"/>
      <c r="I28" s="77"/>
      <c r="J28" s="77"/>
      <c r="K28" s="25"/>
      <c r="L28" s="118"/>
      <c r="M28" s="25"/>
      <c r="N28" s="25"/>
      <c r="O28" s="25"/>
      <c r="P28" s="25"/>
      <c r="Q28" s="25">
        <v>0</v>
      </c>
      <c r="R28" s="63"/>
      <c r="S28" s="131">
        <f t="shared" si="1"/>
        <v>0</v>
      </c>
      <c r="T28" s="63"/>
      <c r="U28" s="421"/>
    </row>
    <row r="29" spans="1:21" ht="15.75" hidden="1" customHeight="1" x14ac:dyDescent="0.25">
      <c r="A29" s="852"/>
      <c r="B29" s="858"/>
      <c r="C29" s="62"/>
      <c r="D29" s="77"/>
      <c r="E29" s="77"/>
      <c r="F29" s="77"/>
      <c r="G29" s="77"/>
      <c r="H29" s="77"/>
      <c r="I29" s="77"/>
      <c r="J29" s="77"/>
      <c r="K29" s="25"/>
      <c r="L29" s="118"/>
      <c r="M29" s="25"/>
      <c r="N29" s="25"/>
      <c r="O29" s="25"/>
      <c r="P29" s="25"/>
      <c r="Q29" s="25">
        <v>0</v>
      </c>
      <c r="R29" s="63"/>
      <c r="S29" s="131">
        <f t="shared" si="1"/>
        <v>0</v>
      </c>
      <c r="T29" s="63"/>
      <c r="U29" s="421"/>
    </row>
    <row r="30" spans="1:21" ht="15.75" hidden="1" customHeight="1" x14ac:dyDescent="0.25">
      <c r="A30" s="852"/>
      <c r="B30" s="858"/>
      <c r="C30" s="62"/>
      <c r="D30" s="77"/>
      <c r="E30" s="77"/>
      <c r="F30" s="77"/>
      <c r="G30" s="77"/>
      <c r="H30" s="77"/>
      <c r="I30" s="77"/>
      <c r="J30" s="77"/>
      <c r="K30" s="25"/>
      <c r="L30" s="118"/>
      <c r="M30" s="25"/>
      <c r="N30" s="25"/>
      <c r="O30" s="25"/>
      <c r="P30" s="25"/>
      <c r="Q30" s="25">
        <v>0</v>
      </c>
      <c r="R30" s="63"/>
      <c r="S30" s="131">
        <f t="shared" si="1"/>
        <v>0</v>
      </c>
      <c r="T30" s="63"/>
      <c r="U30" s="421"/>
    </row>
    <row r="31" spans="1:21" ht="15.75" hidden="1" customHeight="1" x14ac:dyDescent="0.25">
      <c r="A31" s="852"/>
      <c r="B31" s="858"/>
      <c r="C31" s="94"/>
      <c r="D31" s="86"/>
      <c r="E31" s="86"/>
      <c r="F31" s="86"/>
      <c r="G31" s="86"/>
      <c r="H31" s="86"/>
      <c r="I31" s="77"/>
      <c r="J31" s="77"/>
      <c r="K31" s="25"/>
      <c r="L31" s="118"/>
      <c r="M31" s="25"/>
      <c r="N31" s="25"/>
      <c r="O31" s="25"/>
      <c r="P31" s="25"/>
      <c r="Q31" s="25">
        <v>0</v>
      </c>
      <c r="R31" s="131"/>
      <c r="S31" s="131">
        <f t="shared" si="1"/>
        <v>0</v>
      </c>
      <c r="T31" s="131"/>
      <c r="U31" s="688"/>
    </row>
    <row r="32" spans="1:21" ht="15.75" hidden="1" customHeight="1" x14ac:dyDescent="0.25">
      <c r="A32" s="852"/>
      <c r="B32" s="858"/>
      <c r="C32" s="94"/>
      <c r="D32" s="75"/>
      <c r="E32" s="75"/>
      <c r="F32" s="75"/>
      <c r="G32" s="75"/>
      <c r="H32" s="75"/>
      <c r="I32" s="77"/>
      <c r="J32" s="77"/>
      <c r="K32" s="25"/>
      <c r="L32" s="118"/>
      <c r="M32" s="25"/>
      <c r="N32" s="25"/>
      <c r="O32" s="25"/>
      <c r="P32" s="25"/>
      <c r="Q32" s="25">
        <v>0</v>
      </c>
      <c r="R32" s="131"/>
      <c r="S32" s="131">
        <f t="shared" si="1"/>
        <v>0</v>
      </c>
      <c r="T32" s="131"/>
      <c r="U32" s="688"/>
    </row>
    <row r="33" spans="1:21" ht="15.75" hidden="1" customHeight="1" x14ac:dyDescent="0.25">
      <c r="A33" s="852"/>
      <c r="B33" s="858"/>
      <c r="C33" s="94"/>
      <c r="D33" s="77"/>
      <c r="E33" s="77"/>
      <c r="F33" s="77"/>
      <c r="G33" s="77"/>
      <c r="H33" s="77"/>
      <c r="I33" s="77"/>
      <c r="J33" s="77"/>
      <c r="K33" s="25">
        <v>0</v>
      </c>
      <c r="L33" s="118"/>
      <c r="M33" s="25"/>
      <c r="N33" s="25"/>
      <c r="O33" s="25"/>
      <c r="P33" s="25"/>
      <c r="Q33" s="25">
        <v>0</v>
      </c>
      <c r="R33" s="131"/>
      <c r="S33" s="131">
        <f t="shared" si="1"/>
        <v>0</v>
      </c>
      <c r="T33" s="131"/>
      <c r="U33" s="688"/>
    </row>
    <row r="34" spans="1:21" ht="15.75" hidden="1" customHeight="1" x14ac:dyDescent="0.25">
      <c r="A34" s="852"/>
      <c r="B34" s="858"/>
      <c r="C34" s="94"/>
      <c r="D34" s="77"/>
      <c r="E34" s="77"/>
      <c r="F34" s="77"/>
      <c r="G34" s="77"/>
      <c r="H34" s="77"/>
      <c r="I34" s="77"/>
      <c r="J34" s="77"/>
      <c r="K34" s="25">
        <v>0</v>
      </c>
      <c r="L34" s="118"/>
      <c r="M34" s="25"/>
      <c r="N34" s="25"/>
      <c r="O34" s="25"/>
      <c r="P34" s="25"/>
      <c r="Q34" s="25">
        <v>0</v>
      </c>
      <c r="R34" s="131"/>
      <c r="S34" s="131">
        <f t="shared" si="1"/>
        <v>0</v>
      </c>
      <c r="T34" s="131"/>
      <c r="U34" s="688"/>
    </row>
    <row r="35" spans="1:21" ht="15.75" hidden="1" customHeight="1" x14ac:dyDescent="0.25">
      <c r="A35" s="852"/>
      <c r="B35" s="858"/>
      <c r="C35" s="94"/>
      <c r="D35" s="77"/>
      <c r="E35" s="77"/>
      <c r="F35" s="77"/>
      <c r="G35" s="77"/>
      <c r="H35" s="77"/>
      <c r="I35" s="77"/>
      <c r="J35" s="77"/>
      <c r="K35" s="25"/>
      <c r="L35" s="118"/>
      <c r="M35" s="25"/>
      <c r="N35" s="25"/>
      <c r="O35" s="25"/>
      <c r="P35" s="25"/>
      <c r="Q35" s="25">
        <v>0</v>
      </c>
      <c r="R35" s="131"/>
      <c r="S35" s="131">
        <f t="shared" si="1"/>
        <v>0</v>
      </c>
      <c r="T35" s="131"/>
      <c r="U35" s="688"/>
    </row>
    <row r="36" spans="1:21" ht="15.75" hidden="1" customHeight="1" x14ac:dyDescent="0.25">
      <c r="A36" s="852"/>
      <c r="B36" s="858"/>
      <c r="C36" s="62"/>
      <c r="D36" s="77"/>
      <c r="E36" s="77"/>
      <c r="F36" s="77"/>
      <c r="G36" s="77"/>
      <c r="H36" s="77"/>
      <c r="I36" s="77"/>
      <c r="J36" s="77"/>
      <c r="K36" s="25"/>
      <c r="L36" s="118"/>
      <c r="M36" s="25"/>
      <c r="N36" s="25"/>
      <c r="O36" s="25"/>
      <c r="P36" s="25"/>
      <c r="Q36" s="25">
        <v>0</v>
      </c>
      <c r="R36" s="131"/>
      <c r="S36" s="131">
        <f t="shared" si="1"/>
        <v>0</v>
      </c>
      <c r="T36" s="131"/>
      <c r="U36" s="688"/>
    </row>
    <row r="37" spans="1:21" ht="15.75" hidden="1" customHeight="1" x14ac:dyDescent="0.25">
      <c r="A37" s="852"/>
      <c r="B37" s="858"/>
      <c r="C37" s="62"/>
      <c r="D37" s="77"/>
      <c r="E37" s="77"/>
      <c r="F37" s="77"/>
      <c r="G37" s="77"/>
      <c r="H37" s="77"/>
      <c r="I37" s="77"/>
      <c r="J37" s="77"/>
      <c r="K37" s="25"/>
      <c r="L37" s="118"/>
      <c r="M37" s="25"/>
      <c r="N37" s="25"/>
      <c r="O37" s="25"/>
      <c r="P37" s="25"/>
      <c r="Q37" s="25">
        <v>0</v>
      </c>
      <c r="R37" s="131"/>
      <c r="S37" s="131">
        <f t="shared" si="1"/>
        <v>0</v>
      </c>
      <c r="T37" s="131"/>
      <c r="U37" s="688"/>
    </row>
    <row r="38" spans="1:21" ht="15.75" hidden="1" customHeight="1" x14ac:dyDescent="0.25">
      <c r="A38" s="852"/>
      <c r="B38" s="858"/>
      <c r="C38" s="62"/>
      <c r="D38" s="77"/>
      <c r="E38" s="77"/>
      <c r="F38" s="77"/>
      <c r="G38" s="77"/>
      <c r="H38" s="77"/>
      <c r="I38" s="77"/>
      <c r="J38" s="77"/>
      <c r="K38" s="25"/>
      <c r="L38" s="118"/>
      <c r="M38" s="25"/>
      <c r="N38" s="25"/>
      <c r="O38" s="25"/>
      <c r="P38" s="25"/>
      <c r="Q38" s="25">
        <v>0</v>
      </c>
      <c r="R38" s="131"/>
      <c r="S38" s="131">
        <f t="shared" si="1"/>
        <v>0</v>
      </c>
      <c r="T38" s="131"/>
      <c r="U38" s="688"/>
    </row>
    <row r="39" spans="1:21" ht="15.75" hidden="1" customHeight="1" x14ac:dyDescent="0.25">
      <c r="A39" s="852"/>
      <c r="B39" s="858"/>
      <c r="C39" s="62"/>
      <c r="D39" s="77"/>
      <c r="E39" s="77"/>
      <c r="F39" s="77"/>
      <c r="G39" s="77"/>
      <c r="H39" s="77"/>
      <c r="I39" s="77"/>
      <c r="J39" s="77"/>
      <c r="K39" s="25"/>
      <c r="L39" s="118"/>
      <c r="M39" s="25">
        <v>136054.5</v>
      </c>
      <c r="N39" s="25"/>
      <c r="O39" s="25"/>
      <c r="P39" s="25"/>
      <c r="Q39" s="25">
        <v>0</v>
      </c>
      <c r="R39" s="131"/>
      <c r="S39" s="131">
        <f t="shared" si="1"/>
        <v>0</v>
      </c>
      <c r="T39" s="131"/>
      <c r="U39" s="688"/>
    </row>
    <row r="40" spans="1:21" ht="15.75" hidden="1" customHeight="1" x14ac:dyDescent="0.25">
      <c r="A40" s="852"/>
      <c r="B40" s="858"/>
      <c r="C40" s="62"/>
      <c r="D40" s="77"/>
      <c r="E40" s="77"/>
      <c r="F40" s="77"/>
      <c r="G40" s="77"/>
      <c r="H40" s="77"/>
      <c r="I40" s="77"/>
      <c r="J40" s="77"/>
      <c r="K40" s="25"/>
      <c r="L40" s="118"/>
      <c r="M40" s="118">
        <v>65980.73</v>
      </c>
      <c r="N40" s="25"/>
      <c r="O40" s="25"/>
      <c r="P40" s="25"/>
      <c r="Q40" s="25">
        <v>0</v>
      </c>
      <c r="R40" s="63"/>
      <c r="S40" s="131">
        <f t="shared" si="1"/>
        <v>0</v>
      </c>
      <c r="T40" s="63"/>
      <c r="U40" s="421"/>
    </row>
    <row r="41" spans="1:21" ht="15.75" hidden="1" customHeight="1" x14ac:dyDescent="0.25">
      <c r="A41" s="852"/>
      <c r="B41" s="858"/>
      <c r="C41" s="62"/>
      <c r="D41" s="77"/>
      <c r="E41" s="77"/>
      <c r="F41" s="77"/>
      <c r="G41" s="77"/>
      <c r="H41" s="77"/>
      <c r="I41" s="77"/>
      <c r="J41" s="77"/>
      <c r="K41" s="25"/>
      <c r="L41" s="118"/>
      <c r="M41" s="25"/>
      <c r="N41" s="25">
        <v>4000</v>
      </c>
      <c r="O41" s="25"/>
      <c r="P41" s="25"/>
      <c r="Q41" s="25"/>
      <c r="R41" s="63"/>
      <c r="S41" s="131">
        <f t="shared" si="1"/>
        <v>0</v>
      </c>
      <c r="T41" s="63"/>
      <c r="U41" s="421"/>
    </row>
    <row r="42" spans="1:21" ht="15.75" hidden="1" customHeight="1" x14ac:dyDescent="0.25">
      <c r="A42" s="852"/>
      <c r="B42" s="858"/>
      <c r="C42" s="62"/>
      <c r="D42" s="77"/>
      <c r="E42" s="77"/>
      <c r="F42" s="77"/>
      <c r="G42" s="77"/>
      <c r="H42" s="77"/>
      <c r="I42" s="77"/>
      <c r="J42" s="77"/>
      <c r="K42" s="25"/>
      <c r="L42" s="118"/>
      <c r="M42" s="25"/>
      <c r="N42" s="25">
        <v>15000</v>
      </c>
      <c r="O42" s="25"/>
      <c r="P42" s="25"/>
      <c r="Q42" s="25">
        <v>0</v>
      </c>
      <c r="R42" s="63"/>
      <c r="S42" s="131">
        <f t="shared" si="1"/>
        <v>0</v>
      </c>
      <c r="T42" s="63"/>
      <c r="U42" s="421"/>
    </row>
    <row r="43" spans="1:21" ht="15.75" hidden="1" customHeight="1" x14ac:dyDescent="0.25">
      <c r="A43" s="852"/>
      <c r="B43" s="858"/>
      <c r="C43" s="62"/>
      <c r="D43" s="77"/>
      <c r="E43" s="77"/>
      <c r="F43" s="77"/>
      <c r="G43" s="77"/>
      <c r="H43" s="77"/>
      <c r="I43" s="77"/>
      <c r="J43" s="77"/>
      <c r="K43" s="25"/>
      <c r="L43" s="118"/>
      <c r="M43" s="25"/>
      <c r="N43" s="25"/>
      <c r="O43" s="25"/>
      <c r="P43" s="25"/>
      <c r="Q43" s="25"/>
      <c r="R43" s="63"/>
      <c r="S43" s="131">
        <f t="shared" si="1"/>
        <v>0</v>
      </c>
      <c r="T43" s="63"/>
      <c r="U43" s="421"/>
    </row>
    <row r="44" spans="1:21" ht="15.75" hidden="1" customHeight="1" x14ac:dyDescent="0.25">
      <c r="A44" s="852"/>
      <c r="B44" s="858"/>
      <c r="C44" s="62"/>
      <c r="D44" s="77"/>
      <c r="E44" s="77"/>
      <c r="F44" s="77"/>
      <c r="G44" s="77"/>
      <c r="H44" s="77"/>
      <c r="I44" s="77"/>
      <c r="J44" s="77"/>
      <c r="K44" s="25"/>
      <c r="L44" s="118"/>
      <c r="M44" s="25"/>
      <c r="N44" s="25">
        <v>484206.88</v>
      </c>
      <c r="O44" s="25"/>
      <c r="P44" s="25"/>
      <c r="Q44" s="25"/>
      <c r="R44" s="63"/>
      <c r="S44" s="131">
        <f t="shared" si="1"/>
        <v>0</v>
      </c>
      <c r="T44" s="63"/>
      <c r="U44" s="421"/>
    </row>
    <row r="45" spans="1:21" ht="15.75" hidden="1" customHeight="1" x14ac:dyDescent="0.25">
      <c r="A45" s="852"/>
      <c r="B45" s="858"/>
      <c r="C45" s="62"/>
      <c r="D45" s="77"/>
      <c r="E45" s="77"/>
      <c r="F45" s="77"/>
      <c r="G45" s="77"/>
      <c r="H45" s="77"/>
      <c r="I45" s="77"/>
      <c r="J45" s="77"/>
      <c r="K45" s="25"/>
      <c r="L45" s="118"/>
      <c r="M45" s="25"/>
      <c r="N45" s="25"/>
      <c r="O45" s="25"/>
      <c r="P45" s="25"/>
      <c r="Q45" s="25"/>
      <c r="R45" s="63"/>
      <c r="S45" s="131">
        <f t="shared" si="1"/>
        <v>0</v>
      </c>
      <c r="T45" s="63"/>
      <c r="U45" s="421"/>
    </row>
    <row r="46" spans="1:21" ht="15.75" hidden="1" customHeight="1" x14ac:dyDescent="0.25">
      <c r="A46" s="852"/>
      <c r="B46" s="858"/>
      <c r="C46" s="62"/>
      <c r="D46" s="77"/>
      <c r="E46" s="77"/>
      <c r="F46" s="77"/>
      <c r="G46" s="77"/>
      <c r="H46" s="77"/>
      <c r="I46" s="77"/>
      <c r="J46" s="77"/>
      <c r="K46" s="25"/>
      <c r="L46" s="118"/>
      <c r="M46" s="25"/>
      <c r="N46" s="25"/>
      <c r="O46" s="25"/>
      <c r="P46" s="25"/>
      <c r="Q46" s="25"/>
      <c r="R46" s="63"/>
      <c r="S46" s="131">
        <f t="shared" si="1"/>
        <v>0</v>
      </c>
      <c r="T46" s="63"/>
      <c r="U46" s="421"/>
    </row>
    <row r="47" spans="1:21" ht="15.75" hidden="1" customHeight="1" x14ac:dyDescent="0.25">
      <c r="A47" s="852"/>
      <c r="B47" s="858"/>
      <c r="C47" s="62"/>
      <c r="D47" s="77"/>
      <c r="E47" s="77"/>
      <c r="F47" s="77"/>
      <c r="G47" s="77"/>
      <c r="H47" s="77"/>
      <c r="I47" s="77"/>
      <c r="J47" s="77"/>
      <c r="K47" s="25"/>
      <c r="L47" s="118"/>
      <c r="M47" s="25"/>
      <c r="N47" s="25"/>
      <c r="O47" s="25"/>
      <c r="P47" s="25"/>
      <c r="Q47" s="25"/>
      <c r="R47" s="63"/>
      <c r="S47" s="131">
        <f t="shared" si="1"/>
        <v>0</v>
      </c>
      <c r="T47" s="63"/>
      <c r="U47" s="421"/>
    </row>
    <row r="48" spans="1:21" ht="15.75" hidden="1" customHeight="1" x14ac:dyDescent="0.25">
      <c r="A48" s="852"/>
      <c r="B48" s="858"/>
      <c r="C48" s="62"/>
      <c r="D48" s="77"/>
      <c r="E48" s="77"/>
      <c r="F48" s="77"/>
      <c r="G48" s="77"/>
      <c r="H48" s="77"/>
      <c r="I48" s="77"/>
      <c r="J48" s="77"/>
      <c r="K48" s="25"/>
      <c r="L48" s="118"/>
      <c r="M48" s="25"/>
      <c r="N48" s="25"/>
      <c r="O48" s="25"/>
      <c r="P48" s="25"/>
      <c r="Q48" s="25"/>
      <c r="R48" s="63"/>
      <c r="S48" s="131">
        <f t="shared" si="1"/>
        <v>0</v>
      </c>
      <c r="T48" s="63"/>
      <c r="U48" s="421"/>
    </row>
    <row r="49" spans="1:21" ht="15.75" hidden="1" customHeight="1" x14ac:dyDescent="0.25">
      <c r="A49" s="853"/>
      <c r="B49" s="858"/>
      <c r="C49" s="62"/>
      <c r="D49" s="77"/>
      <c r="E49" s="77"/>
      <c r="F49" s="77"/>
      <c r="G49" s="77"/>
      <c r="H49" s="77"/>
      <c r="I49" s="77"/>
      <c r="J49" s="77"/>
      <c r="K49" s="25"/>
      <c r="L49" s="118"/>
      <c r="M49" s="25"/>
      <c r="N49" s="25"/>
      <c r="O49" s="25"/>
      <c r="P49" s="25"/>
      <c r="Q49" s="25"/>
      <c r="R49" s="131"/>
      <c r="S49" s="131">
        <f t="shared" si="1"/>
        <v>0</v>
      </c>
      <c r="T49" s="131"/>
      <c r="U49" s="688"/>
    </row>
    <row r="50" spans="1:21" ht="15.75" thickBot="1" x14ac:dyDescent="0.3">
      <c r="A50" s="422">
        <v>330</v>
      </c>
      <c r="B50" s="760" t="s">
        <v>117</v>
      </c>
      <c r="C50" s="761"/>
      <c r="D50" s="423">
        <f t="shared" ref="D50:U51" si="7">D51</f>
        <v>0</v>
      </c>
      <c r="E50" s="423">
        <f t="shared" si="7"/>
        <v>0</v>
      </c>
      <c r="F50" s="423">
        <f t="shared" si="7"/>
        <v>0</v>
      </c>
      <c r="G50" s="423">
        <f t="shared" si="7"/>
        <v>0</v>
      </c>
      <c r="H50" s="423">
        <f t="shared" si="7"/>
        <v>0</v>
      </c>
      <c r="I50" s="423">
        <f t="shared" si="7"/>
        <v>57800</v>
      </c>
      <c r="J50" s="424">
        <f t="shared" si="7"/>
        <v>20485</v>
      </c>
      <c r="K50" s="423">
        <f t="shared" si="7"/>
        <v>0</v>
      </c>
      <c r="L50" s="425"/>
      <c r="M50" s="423">
        <f t="shared" si="7"/>
        <v>0</v>
      </c>
      <c r="N50" s="423">
        <f t="shared" si="7"/>
        <v>0</v>
      </c>
      <c r="O50" s="423">
        <f t="shared" si="7"/>
        <v>0</v>
      </c>
      <c r="P50" s="423"/>
      <c r="Q50" s="423">
        <f t="shared" si="7"/>
        <v>0</v>
      </c>
      <c r="R50" s="426">
        <f t="shared" si="7"/>
        <v>0</v>
      </c>
      <c r="S50" s="427">
        <f t="shared" si="1"/>
        <v>0</v>
      </c>
      <c r="T50" s="426">
        <f t="shared" si="7"/>
        <v>0</v>
      </c>
      <c r="U50" s="689">
        <f t="shared" si="7"/>
        <v>0</v>
      </c>
    </row>
    <row r="51" spans="1:21" ht="15.75" thickBot="1" x14ac:dyDescent="0.3">
      <c r="A51" s="795"/>
      <c r="B51" s="399">
        <v>332</v>
      </c>
      <c r="C51" s="80" t="s">
        <v>302</v>
      </c>
      <c r="D51" s="81">
        <f t="shared" si="7"/>
        <v>0</v>
      </c>
      <c r="E51" s="81">
        <f t="shared" si="7"/>
        <v>0</v>
      </c>
      <c r="F51" s="81">
        <f t="shared" si="7"/>
        <v>0</v>
      </c>
      <c r="G51" s="81">
        <f t="shared" si="7"/>
        <v>0</v>
      </c>
      <c r="H51" s="81">
        <f t="shared" si="7"/>
        <v>0</v>
      </c>
      <c r="I51" s="81">
        <f>I52</f>
        <v>57800</v>
      </c>
      <c r="J51" s="85">
        <f>J52</f>
        <v>20485</v>
      </c>
      <c r="K51" s="81">
        <f>K52</f>
        <v>0</v>
      </c>
      <c r="L51" s="90"/>
      <c r="M51" s="81">
        <f>M52</f>
        <v>0</v>
      </c>
      <c r="N51" s="81">
        <f>N52</f>
        <v>0</v>
      </c>
      <c r="O51" s="81">
        <f>O52</f>
        <v>0</v>
      </c>
      <c r="P51" s="81"/>
      <c r="Q51" s="81">
        <f>Q52</f>
        <v>0</v>
      </c>
      <c r="R51" s="85">
        <f>R52</f>
        <v>0</v>
      </c>
      <c r="S51" s="84">
        <f t="shared" si="1"/>
        <v>0</v>
      </c>
      <c r="T51" s="84"/>
      <c r="U51" s="690"/>
    </row>
    <row r="52" spans="1:21" x14ac:dyDescent="0.25">
      <c r="A52" s="796"/>
      <c r="B52" s="764"/>
      <c r="C52" s="17" t="s">
        <v>303</v>
      </c>
      <c r="D52" s="114"/>
      <c r="E52" s="114"/>
      <c r="F52" s="114"/>
      <c r="G52" s="114"/>
      <c r="H52" s="114"/>
      <c r="I52" s="114">
        <v>57800</v>
      </c>
      <c r="J52" s="19">
        <v>20485</v>
      </c>
      <c r="K52" s="19"/>
      <c r="L52" s="47"/>
      <c r="M52" s="47"/>
      <c r="N52" s="47"/>
      <c r="O52" s="47"/>
      <c r="P52" s="47"/>
      <c r="Q52" s="47"/>
      <c r="R52" s="95"/>
      <c r="S52" s="95">
        <f t="shared" si="1"/>
        <v>0</v>
      </c>
      <c r="T52" s="95"/>
      <c r="U52" s="691"/>
    </row>
    <row r="53" spans="1:21" ht="15.75" thickBot="1" x14ac:dyDescent="0.3">
      <c r="A53" s="796"/>
      <c r="B53" s="765"/>
      <c r="C53" s="186"/>
      <c r="D53" s="91"/>
      <c r="E53" s="91"/>
      <c r="F53" s="91"/>
      <c r="G53" s="91"/>
      <c r="H53" s="91"/>
      <c r="I53" s="91"/>
      <c r="J53" s="91"/>
      <c r="K53" s="93"/>
      <c r="L53" s="93"/>
      <c r="M53" s="93"/>
      <c r="N53" s="93"/>
      <c r="O53" s="93"/>
      <c r="P53" s="93"/>
      <c r="Q53" s="93"/>
      <c r="R53" s="95"/>
      <c r="S53" s="95">
        <f t="shared" si="1"/>
        <v>0</v>
      </c>
      <c r="T53" s="95"/>
      <c r="U53" s="691"/>
    </row>
    <row r="54" spans="1:21" ht="17.25" thickTop="1" thickBot="1" x14ac:dyDescent="0.3">
      <c r="A54" s="428"/>
      <c r="B54" s="429"/>
      <c r="C54" s="385" t="s">
        <v>304</v>
      </c>
      <c r="D54" s="139">
        <f t="shared" ref="D54:R54" si="8">D17+D5</f>
        <v>2113092</v>
      </c>
      <c r="E54" s="139">
        <f t="shared" si="8"/>
        <v>1017958</v>
      </c>
      <c r="F54" s="139">
        <f t="shared" si="8"/>
        <v>1245369</v>
      </c>
      <c r="G54" s="139">
        <f t="shared" si="8"/>
        <v>4391413</v>
      </c>
      <c r="H54" s="139">
        <f t="shared" si="8"/>
        <v>3456141</v>
      </c>
      <c r="I54" s="139">
        <f t="shared" si="8"/>
        <v>4649713</v>
      </c>
      <c r="J54" s="139">
        <f t="shared" si="8"/>
        <v>4502774.0599999996</v>
      </c>
      <c r="K54" s="139">
        <f t="shared" si="8"/>
        <v>3678497</v>
      </c>
      <c r="L54" s="139">
        <f t="shared" si="8"/>
        <v>1218338.5899999999</v>
      </c>
      <c r="M54" s="140">
        <f t="shared" si="8"/>
        <v>752297.52</v>
      </c>
      <c r="N54" s="139">
        <f t="shared" si="8"/>
        <v>935536.18</v>
      </c>
      <c r="O54" s="139">
        <f>O17+O5</f>
        <v>1696241.7999999998</v>
      </c>
      <c r="P54" s="139">
        <f>P17+P5</f>
        <v>2123247.52</v>
      </c>
      <c r="Q54" s="139">
        <f>Q17+Q5</f>
        <v>1884232</v>
      </c>
      <c r="R54" s="139">
        <f t="shared" si="8"/>
        <v>160000</v>
      </c>
      <c r="S54" s="140">
        <f t="shared" si="1"/>
        <v>0.1710249196348558</v>
      </c>
      <c r="T54" s="139">
        <f>T17+T5</f>
        <v>0</v>
      </c>
      <c r="U54" s="692">
        <f>U17+U5</f>
        <v>0</v>
      </c>
    </row>
    <row r="55" spans="1:21" ht="15.75" thickTop="1" x14ac:dyDescent="0.25"/>
  </sheetData>
  <mergeCells count="35">
    <mergeCell ref="A1:C1"/>
    <mergeCell ref="A2:C2"/>
    <mergeCell ref="B20:B49"/>
    <mergeCell ref="H3:H4"/>
    <mergeCell ref="I3:I4"/>
    <mergeCell ref="A3:A4"/>
    <mergeCell ref="B3:B4"/>
    <mergeCell ref="C3:C4"/>
    <mergeCell ref="D3:D4"/>
    <mergeCell ref="E3:E4"/>
    <mergeCell ref="T3:T4"/>
    <mergeCell ref="U3:U4"/>
    <mergeCell ref="B17:C17"/>
    <mergeCell ref="B18:C18"/>
    <mergeCell ref="K3:K4"/>
    <mergeCell ref="L3:L4"/>
    <mergeCell ref="F3:F4"/>
    <mergeCell ref="J3:J4"/>
    <mergeCell ref="G3:G4"/>
    <mergeCell ref="B50:C50"/>
    <mergeCell ref="A51:A53"/>
    <mergeCell ref="B52:B53"/>
    <mergeCell ref="S3:S4"/>
    <mergeCell ref="B5:C5"/>
    <mergeCell ref="B6:C6"/>
    <mergeCell ref="A7:A16"/>
    <mergeCell ref="B8:B10"/>
    <mergeCell ref="B12:B16"/>
    <mergeCell ref="M3:M4"/>
    <mergeCell ref="N3:N4"/>
    <mergeCell ref="O3:O4"/>
    <mergeCell ref="P3:P4"/>
    <mergeCell ref="Q3:Q4"/>
    <mergeCell ref="R3:R4"/>
    <mergeCell ref="A19:A4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5"/>
  <sheetViews>
    <sheetView workbookViewId="0">
      <selection activeCell="W76" sqref="W76"/>
    </sheetView>
  </sheetViews>
  <sheetFormatPr defaultRowHeight="15" x14ac:dyDescent="0.25"/>
  <cols>
    <col min="1" max="1" width="10.85546875" customWidth="1"/>
    <col min="3" max="3" width="34.140625" customWidth="1"/>
    <col min="4" max="11" width="9.140625" hidden="1" customWidth="1"/>
    <col min="12" max="12" width="14.42578125" hidden="1" customWidth="1"/>
    <col min="13" max="14" width="14.7109375" hidden="1" customWidth="1"/>
    <col min="15" max="15" width="15.28515625" hidden="1" customWidth="1"/>
    <col min="16" max="17" width="15.28515625" customWidth="1"/>
    <col min="18" max="18" width="13.7109375" customWidth="1"/>
    <col min="19" max="19" width="10.5703125" customWidth="1"/>
    <col min="20" max="21" width="14.140625" customWidth="1"/>
    <col min="24" max="24" width="11.28515625" style="327" customWidth="1"/>
    <col min="257" max="257" width="10.85546875" customWidth="1"/>
    <col min="259" max="259" width="34.140625" customWidth="1"/>
    <col min="260" max="271" width="0" hidden="1" customWidth="1"/>
    <col min="272" max="273" width="15.28515625" customWidth="1"/>
    <col min="274" max="274" width="13.7109375" customWidth="1"/>
    <col min="275" max="275" width="10.5703125" customWidth="1"/>
    <col min="276" max="277" width="14.140625" customWidth="1"/>
    <col min="280" max="280" width="11.28515625" customWidth="1"/>
    <col min="513" max="513" width="10.85546875" customWidth="1"/>
    <col min="515" max="515" width="34.140625" customWidth="1"/>
    <col min="516" max="527" width="0" hidden="1" customWidth="1"/>
    <col min="528" max="529" width="15.28515625" customWidth="1"/>
    <col min="530" max="530" width="13.7109375" customWidth="1"/>
    <col min="531" max="531" width="10.5703125" customWidth="1"/>
    <col min="532" max="533" width="14.140625" customWidth="1"/>
    <col min="536" max="536" width="11.28515625" customWidth="1"/>
    <col min="769" max="769" width="10.85546875" customWidth="1"/>
    <col min="771" max="771" width="34.140625" customWidth="1"/>
    <col min="772" max="783" width="0" hidden="1" customWidth="1"/>
    <col min="784" max="785" width="15.28515625" customWidth="1"/>
    <col min="786" max="786" width="13.7109375" customWidth="1"/>
    <col min="787" max="787" width="10.5703125" customWidth="1"/>
    <col min="788" max="789" width="14.140625" customWidth="1"/>
    <col min="792" max="792" width="11.28515625" customWidth="1"/>
    <col min="1025" max="1025" width="10.85546875" customWidth="1"/>
    <col min="1027" max="1027" width="34.140625" customWidth="1"/>
    <col min="1028" max="1039" width="0" hidden="1" customWidth="1"/>
    <col min="1040" max="1041" width="15.28515625" customWidth="1"/>
    <col min="1042" max="1042" width="13.7109375" customWidth="1"/>
    <col min="1043" max="1043" width="10.5703125" customWidth="1"/>
    <col min="1044" max="1045" width="14.140625" customWidth="1"/>
    <col min="1048" max="1048" width="11.28515625" customWidth="1"/>
    <col min="1281" max="1281" width="10.85546875" customWidth="1"/>
    <col min="1283" max="1283" width="34.140625" customWidth="1"/>
    <col min="1284" max="1295" width="0" hidden="1" customWidth="1"/>
    <col min="1296" max="1297" width="15.28515625" customWidth="1"/>
    <col min="1298" max="1298" width="13.7109375" customWidth="1"/>
    <col min="1299" max="1299" width="10.5703125" customWidth="1"/>
    <col min="1300" max="1301" width="14.140625" customWidth="1"/>
    <col min="1304" max="1304" width="11.28515625" customWidth="1"/>
    <col min="1537" max="1537" width="10.85546875" customWidth="1"/>
    <col min="1539" max="1539" width="34.140625" customWidth="1"/>
    <col min="1540" max="1551" width="0" hidden="1" customWidth="1"/>
    <col min="1552" max="1553" width="15.28515625" customWidth="1"/>
    <col min="1554" max="1554" width="13.7109375" customWidth="1"/>
    <col min="1555" max="1555" width="10.5703125" customWidth="1"/>
    <col min="1556" max="1557" width="14.140625" customWidth="1"/>
    <col min="1560" max="1560" width="11.28515625" customWidth="1"/>
    <col min="1793" max="1793" width="10.85546875" customWidth="1"/>
    <col min="1795" max="1795" width="34.140625" customWidth="1"/>
    <col min="1796" max="1807" width="0" hidden="1" customWidth="1"/>
    <col min="1808" max="1809" width="15.28515625" customWidth="1"/>
    <col min="1810" max="1810" width="13.7109375" customWidth="1"/>
    <col min="1811" max="1811" width="10.5703125" customWidth="1"/>
    <col min="1812" max="1813" width="14.140625" customWidth="1"/>
    <col min="1816" max="1816" width="11.28515625" customWidth="1"/>
    <col min="2049" max="2049" width="10.85546875" customWidth="1"/>
    <col min="2051" max="2051" width="34.140625" customWidth="1"/>
    <col min="2052" max="2063" width="0" hidden="1" customWidth="1"/>
    <col min="2064" max="2065" width="15.28515625" customWidth="1"/>
    <col min="2066" max="2066" width="13.7109375" customWidth="1"/>
    <col min="2067" max="2067" width="10.5703125" customWidth="1"/>
    <col min="2068" max="2069" width="14.140625" customWidth="1"/>
    <col min="2072" max="2072" width="11.28515625" customWidth="1"/>
    <col min="2305" max="2305" width="10.85546875" customWidth="1"/>
    <col min="2307" max="2307" width="34.140625" customWidth="1"/>
    <col min="2308" max="2319" width="0" hidden="1" customWidth="1"/>
    <col min="2320" max="2321" width="15.28515625" customWidth="1"/>
    <col min="2322" max="2322" width="13.7109375" customWidth="1"/>
    <col min="2323" max="2323" width="10.5703125" customWidth="1"/>
    <col min="2324" max="2325" width="14.140625" customWidth="1"/>
    <col min="2328" max="2328" width="11.28515625" customWidth="1"/>
    <col min="2561" max="2561" width="10.85546875" customWidth="1"/>
    <col min="2563" max="2563" width="34.140625" customWidth="1"/>
    <col min="2564" max="2575" width="0" hidden="1" customWidth="1"/>
    <col min="2576" max="2577" width="15.28515625" customWidth="1"/>
    <col min="2578" max="2578" width="13.7109375" customWidth="1"/>
    <col min="2579" max="2579" width="10.5703125" customWidth="1"/>
    <col min="2580" max="2581" width="14.140625" customWidth="1"/>
    <col min="2584" max="2584" width="11.28515625" customWidth="1"/>
    <col min="2817" max="2817" width="10.85546875" customWidth="1"/>
    <col min="2819" max="2819" width="34.140625" customWidth="1"/>
    <col min="2820" max="2831" width="0" hidden="1" customWidth="1"/>
    <col min="2832" max="2833" width="15.28515625" customWidth="1"/>
    <col min="2834" max="2834" width="13.7109375" customWidth="1"/>
    <col min="2835" max="2835" width="10.5703125" customWidth="1"/>
    <col min="2836" max="2837" width="14.140625" customWidth="1"/>
    <col min="2840" max="2840" width="11.28515625" customWidth="1"/>
    <col min="3073" max="3073" width="10.85546875" customWidth="1"/>
    <col min="3075" max="3075" width="34.140625" customWidth="1"/>
    <col min="3076" max="3087" width="0" hidden="1" customWidth="1"/>
    <col min="3088" max="3089" width="15.28515625" customWidth="1"/>
    <col min="3090" max="3090" width="13.7109375" customWidth="1"/>
    <col min="3091" max="3091" width="10.5703125" customWidth="1"/>
    <col min="3092" max="3093" width="14.140625" customWidth="1"/>
    <col min="3096" max="3096" width="11.28515625" customWidth="1"/>
    <col min="3329" max="3329" width="10.85546875" customWidth="1"/>
    <col min="3331" max="3331" width="34.140625" customWidth="1"/>
    <col min="3332" max="3343" width="0" hidden="1" customWidth="1"/>
    <col min="3344" max="3345" width="15.28515625" customWidth="1"/>
    <col min="3346" max="3346" width="13.7109375" customWidth="1"/>
    <col min="3347" max="3347" width="10.5703125" customWidth="1"/>
    <col min="3348" max="3349" width="14.140625" customWidth="1"/>
    <col min="3352" max="3352" width="11.28515625" customWidth="1"/>
    <col min="3585" max="3585" width="10.85546875" customWidth="1"/>
    <col min="3587" max="3587" width="34.140625" customWidth="1"/>
    <col min="3588" max="3599" width="0" hidden="1" customWidth="1"/>
    <col min="3600" max="3601" width="15.28515625" customWidth="1"/>
    <col min="3602" max="3602" width="13.7109375" customWidth="1"/>
    <col min="3603" max="3603" width="10.5703125" customWidth="1"/>
    <col min="3604" max="3605" width="14.140625" customWidth="1"/>
    <col min="3608" max="3608" width="11.28515625" customWidth="1"/>
    <col min="3841" max="3841" width="10.85546875" customWidth="1"/>
    <col min="3843" max="3843" width="34.140625" customWidth="1"/>
    <col min="3844" max="3855" width="0" hidden="1" customWidth="1"/>
    <col min="3856" max="3857" width="15.28515625" customWidth="1"/>
    <col min="3858" max="3858" width="13.7109375" customWidth="1"/>
    <col min="3859" max="3859" width="10.5703125" customWidth="1"/>
    <col min="3860" max="3861" width="14.140625" customWidth="1"/>
    <col min="3864" max="3864" width="11.28515625" customWidth="1"/>
    <col min="4097" max="4097" width="10.85546875" customWidth="1"/>
    <col min="4099" max="4099" width="34.140625" customWidth="1"/>
    <col min="4100" max="4111" width="0" hidden="1" customWidth="1"/>
    <col min="4112" max="4113" width="15.28515625" customWidth="1"/>
    <col min="4114" max="4114" width="13.7109375" customWidth="1"/>
    <col min="4115" max="4115" width="10.5703125" customWidth="1"/>
    <col min="4116" max="4117" width="14.140625" customWidth="1"/>
    <col min="4120" max="4120" width="11.28515625" customWidth="1"/>
    <col min="4353" max="4353" width="10.85546875" customWidth="1"/>
    <col min="4355" max="4355" width="34.140625" customWidth="1"/>
    <col min="4356" max="4367" width="0" hidden="1" customWidth="1"/>
    <col min="4368" max="4369" width="15.28515625" customWidth="1"/>
    <col min="4370" max="4370" width="13.7109375" customWidth="1"/>
    <col min="4371" max="4371" width="10.5703125" customWidth="1"/>
    <col min="4372" max="4373" width="14.140625" customWidth="1"/>
    <col min="4376" max="4376" width="11.28515625" customWidth="1"/>
    <col min="4609" max="4609" width="10.85546875" customWidth="1"/>
    <col min="4611" max="4611" width="34.140625" customWidth="1"/>
    <col min="4612" max="4623" width="0" hidden="1" customWidth="1"/>
    <col min="4624" max="4625" width="15.28515625" customWidth="1"/>
    <col min="4626" max="4626" width="13.7109375" customWidth="1"/>
    <col min="4627" max="4627" width="10.5703125" customWidth="1"/>
    <col min="4628" max="4629" width="14.140625" customWidth="1"/>
    <col min="4632" max="4632" width="11.28515625" customWidth="1"/>
    <col min="4865" max="4865" width="10.85546875" customWidth="1"/>
    <col min="4867" max="4867" width="34.140625" customWidth="1"/>
    <col min="4868" max="4879" width="0" hidden="1" customWidth="1"/>
    <col min="4880" max="4881" width="15.28515625" customWidth="1"/>
    <col min="4882" max="4882" width="13.7109375" customWidth="1"/>
    <col min="4883" max="4883" width="10.5703125" customWidth="1"/>
    <col min="4884" max="4885" width="14.140625" customWidth="1"/>
    <col min="4888" max="4888" width="11.28515625" customWidth="1"/>
    <col min="5121" max="5121" width="10.85546875" customWidth="1"/>
    <col min="5123" max="5123" width="34.140625" customWidth="1"/>
    <col min="5124" max="5135" width="0" hidden="1" customWidth="1"/>
    <col min="5136" max="5137" width="15.28515625" customWidth="1"/>
    <col min="5138" max="5138" width="13.7109375" customWidth="1"/>
    <col min="5139" max="5139" width="10.5703125" customWidth="1"/>
    <col min="5140" max="5141" width="14.140625" customWidth="1"/>
    <col min="5144" max="5144" width="11.28515625" customWidth="1"/>
    <col min="5377" max="5377" width="10.85546875" customWidth="1"/>
    <col min="5379" max="5379" width="34.140625" customWidth="1"/>
    <col min="5380" max="5391" width="0" hidden="1" customWidth="1"/>
    <col min="5392" max="5393" width="15.28515625" customWidth="1"/>
    <col min="5394" max="5394" width="13.7109375" customWidth="1"/>
    <col min="5395" max="5395" width="10.5703125" customWidth="1"/>
    <col min="5396" max="5397" width="14.140625" customWidth="1"/>
    <col min="5400" max="5400" width="11.28515625" customWidth="1"/>
    <col min="5633" max="5633" width="10.85546875" customWidth="1"/>
    <col min="5635" max="5635" width="34.140625" customWidth="1"/>
    <col min="5636" max="5647" width="0" hidden="1" customWidth="1"/>
    <col min="5648" max="5649" width="15.28515625" customWidth="1"/>
    <col min="5650" max="5650" width="13.7109375" customWidth="1"/>
    <col min="5651" max="5651" width="10.5703125" customWidth="1"/>
    <col min="5652" max="5653" width="14.140625" customWidth="1"/>
    <col min="5656" max="5656" width="11.28515625" customWidth="1"/>
    <col min="5889" max="5889" width="10.85546875" customWidth="1"/>
    <col min="5891" max="5891" width="34.140625" customWidth="1"/>
    <col min="5892" max="5903" width="0" hidden="1" customWidth="1"/>
    <col min="5904" max="5905" width="15.28515625" customWidth="1"/>
    <col min="5906" max="5906" width="13.7109375" customWidth="1"/>
    <col min="5907" max="5907" width="10.5703125" customWidth="1"/>
    <col min="5908" max="5909" width="14.140625" customWidth="1"/>
    <col min="5912" max="5912" width="11.28515625" customWidth="1"/>
    <col min="6145" max="6145" width="10.85546875" customWidth="1"/>
    <col min="6147" max="6147" width="34.140625" customWidth="1"/>
    <col min="6148" max="6159" width="0" hidden="1" customWidth="1"/>
    <col min="6160" max="6161" width="15.28515625" customWidth="1"/>
    <col min="6162" max="6162" width="13.7109375" customWidth="1"/>
    <col min="6163" max="6163" width="10.5703125" customWidth="1"/>
    <col min="6164" max="6165" width="14.140625" customWidth="1"/>
    <col min="6168" max="6168" width="11.28515625" customWidth="1"/>
    <col min="6401" max="6401" width="10.85546875" customWidth="1"/>
    <col min="6403" max="6403" width="34.140625" customWidth="1"/>
    <col min="6404" max="6415" width="0" hidden="1" customWidth="1"/>
    <col min="6416" max="6417" width="15.28515625" customWidth="1"/>
    <col min="6418" max="6418" width="13.7109375" customWidth="1"/>
    <col min="6419" max="6419" width="10.5703125" customWidth="1"/>
    <col min="6420" max="6421" width="14.140625" customWidth="1"/>
    <col min="6424" max="6424" width="11.28515625" customWidth="1"/>
    <col min="6657" max="6657" width="10.85546875" customWidth="1"/>
    <col min="6659" max="6659" width="34.140625" customWidth="1"/>
    <col min="6660" max="6671" width="0" hidden="1" customWidth="1"/>
    <col min="6672" max="6673" width="15.28515625" customWidth="1"/>
    <col min="6674" max="6674" width="13.7109375" customWidth="1"/>
    <col min="6675" max="6675" width="10.5703125" customWidth="1"/>
    <col min="6676" max="6677" width="14.140625" customWidth="1"/>
    <col min="6680" max="6680" width="11.28515625" customWidth="1"/>
    <col min="6913" max="6913" width="10.85546875" customWidth="1"/>
    <col min="6915" max="6915" width="34.140625" customWidth="1"/>
    <col min="6916" max="6927" width="0" hidden="1" customWidth="1"/>
    <col min="6928" max="6929" width="15.28515625" customWidth="1"/>
    <col min="6930" max="6930" width="13.7109375" customWidth="1"/>
    <col min="6931" max="6931" width="10.5703125" customWidth="1"/>
    <col min="6932" max="6933" width="14.140625" customWidth="1"/>
    <col min="6936" max="6936" width="11.28515625" customWidth="1"/>
    <col min="7169" max="7169" width="10.85546875" customWidth="1"/>
    <col min="7171" max="7171" width="34.140625" customWidth="1"/>
    <col min="7172" max="7183" width="0" hidden="1" customWidth="1"/>
    <col min="7184" max="7185" width="15.28515625" customWidth="1"/>
    <col min="7186" max="7186" width="13.7109375" customWidth="1"/>
    <col min="7187" max="7187" width="10.5703125" customWidth="1"/>
    <col min="7188" max="7189" width="14.140625" customWidth="1"/>
    <col min="7192" max="7192" width="11.28515625" customWidth="1"/>
    <col min="7425" max="7425" width="10.85546875" customWidth="1"/>
    <col min="7427" max="7427" width="34.140625" customWidth="1"/>
    <col min="7428" max="7439" width="0" hidden="1" customWidth="1"/>
    <col min="7440" max="7441" width="15.28515625" customWidth="1"/>
    <col min="7442" max="7442" width="13.7109375" customWidth="1"/>
    <col min="7443" max="7443" width="10.5703125" customWidth="1"/>
    <col min="7444" max="7445" width="14.140625" customWidth="1"/>
    <col min="7448" max="7448" width="11.28515625" customWidth="1"/>
    <col min="7681" max="7681" width="10.85546875" customWidth="1"/>
    <col min="7683" max="7683" width="34.140625" customWidth="1"/>
    <col min="7684" max="7695" width="0" hidden="1" customWidth="1"/>
    <col min="7696" max="7697" width="15.28515625" customWidth="1"/>
    <col min="7698" max="7698" width="13.7109375" customWidth="1"/>
    <col min="7699" max="7699" width="10.5703125" customWidth="1"/>
    <col min="7700" max="7701" width="14.140625" customWidth="1"/>
    <col min="7704" max="7704" width="11.28515625" customWidth="1"/>
    <col min="7937" max="7937" width="10.85546875" customWidth="1"/>
    <col min="7939" max="7939" width="34.140625" customWidth="1"/>
    <col min="7940" max="7951" width="0" hidden="1" customWidth="1"/>
    <col min="7952" max="7953" width="15.28515625" customWidth="1"/>
    <col min="7954" max="7954" width="13.7109375" customWidth="1"/>
    <col min="7955" max="7955" width="10.5703125" customWidth="1"/>
    <col min="7956" max="7957" width="14.140625" customWidth="1"/>
    <col min="7960" max="7960" width="11.28515625" customWidth="1"/>
    <col min="8193" max="8193" width="10.85546875" customWidth="1"/>
    <col min="8195" max="8195" width="34.140625" customWidth="1"/>
    <col min="8196" max="8207" width="0" hidden="1" customWidth="1"/>
    <col min="8208" max="8209" width="15.28515625" customWidth="1"/>
    <col min="8210" max="8210" width="13.7109375" customWidth="1"/>
    <col min="8211" max="8211" width="10.5703125" customWidth="1"/>
    <col min="8212" max="8213" width="14.140625" customWidth="1"/>
    <col min="8216" max="8216" width="11.28515625" customWidth="1"/>
    <col min="8449" max="8449" width="10.85546875" customWidth="1"/>
    <col min="8451" max="8451" width="34.140625" customWidth="1"/>
    <col min="8452" max="8463" width="0" hidden="1" customWidth="1"/>
    <col min="8464" max="8465" width="15.28515625" customWidth="1"/>
    <col min="8466" max="8466" width="13.7109375" customWidth="1"/>
    <col min="8467" max="8467" width="10.5703125" customWidth="1"/>
    <col min="8468" max="8469" width="14.140625" customWidth="1"/>
    <col min="8472" max="8472" width="11.28515625" customWidth="1"/>
    <col min="8705" max="8705" width="10.85546875" customWidth="1"/>
    <col min="8707" max="8707" width="34.140625" customWidth="1"/>
    <col min="8708" max="8719" width="0" hidden="1" customWidth="1"/>
    <col min="8720" max="8721" width="15.28515625" customWidth="1"/>
    <col min="8722" max="8722" width="13.7109375" customWidth="1"/>
    <col min="8723" max="8723" width="10.5703125" customWidth="1"/>
    <col min="8724" max="8725" width="14.140625" customWidth="1"/>
    <col min="8728" max="8728" width="11.28515625" customWidth="1"/>
    <col min="8961" max="8961" width="10.85546875" customWidth="1"/>
    <col min="8963" max="8963" width="34.140625" customWidth="1"/>
    <col min="8964" max="8975" width="0" hidden="1" customWidth="1"/>
    <col min="8976" max="8977" width="15.28515625" customWidth="1"/>
    <col min="8978" max="8978" width="13.7109375" customWidth="1"/>
    <col min="8979" max="8979" width="10.5703125" customWidth="1"/>
    <col min="8980" max="8981" width="14.140625" customWidth="1"/>
    <col min="8984" max="8984" width="11.28515625" customWidth="1"/>
    <col min="9217" max="9217" width="10.85546875" customWidth="1"/>
    <col min="9219" max="9219" width="34.140625" customWidth="1"/>
    <col min="9220" max="9231" width="0" hidden="1" customWidth="1"/>
    <col min="9232" max="9233" width="15.28515625" customWidth="1"/>
    <col min="9234" max="9234" width="13.7109375" customWidth="1"/>
    <col min="9235" max="9235" width="10.5703125" customWidth="1"/>
    <col min="9236" max="9237" width="14.140625" customWidth="1"/>
    <col min="9240" max="9240" width="11.28515625" customWidth="1"/>
    <col min="9473" max="9473" width="10.85546875" customWidth="1"/>
    <col min="9475" max="9475" width="34.140625" customWidth="1"/>
    <col min="9476" max="9487" width="0" hidden="1" customWidth="1"/>
    <col min="9488" max="9489" width="15.28515625" customWidth="1"/>
    <col min="9490" max="9490" width="13.7109375" customWidth="1"/>
    <col min="9491" max="9491" width="10.5703125" customWidth="1"/>
    <col min="9492" max="9493" width="14.140625" customWidth="1"/>
    <col min="9496" max="9496" width="11.28515625" customWidth="1"/>
    <col min="9729" max="9729" width="10.85546875" customWidth="1"/>
    <col min="9731" max="9731" width="34.140625" customWidth="1"/>
    <col min="9732" max="9743" width="0" hidden="1" customWidth="1"/>
    <col min="9744" max="9745" width="15.28515625" customWidth="1"/>
    <col min="9746" max="9746" width="13.7109375" customWidth="1"/>
    <col min="9747" max="9747" width="10.5703125" customWidth="1"/>
    <col min="9748" max="9749" width="14.140625" customWidth="1"/>
    <col min="9752" max="9752" width="11.28515625" customWidth="1"/>
    <col min="9985" max="9985" width="10.85546875" customWidth="1"/>
    <col min="9987" max="9987" width="34.140625" customWidth="1"/>
    <col min="9988" max="9999" width="0" hidden="1" customWidth="1"/>
    <col min="10000" max="10001" width="15.28515625" customWidth="1"/>
    <col min="10002" max="10002" width="13.7109375" customWidth="1"/>
    <col min="10003" max="10003" width="10.5703125" customWidth="1"/>
    <col min="10004" max="10005" width="14.140625" customWidth="1"/>
    <col min="10008" max="10008" width="11.28515625" customWidth="1"/>
    <col min="10241" max="10241" width="10.85546875" customWidth="1"/>
    <col min="10243" max="10243" width="34.140625" customWidth="1"/>
    <col min="10244" max="10255" width="0" hidden="1" customWidth="1"/>
    <col min="10256" max="10257" width="15.28515625" customWidth="1"/>
    <col min="10258" max="10258" width="13.7109375" customWidth="1"/>
    <col min="10259" max="10259" width="10.5703125" customWidth="1"/>
    <col min="10260" max="10261" width="14.140625" customWidth="1"/>
    <col min="10264" max="10264" width="11.28515625" customWidth="1"/>
    <col min="10497" max="10497" width="10.85546875" customWidth="1"/>
    <col min="10499" max="10499" width="34.140625" customWidth="1"/>
    <col min="10500" max="10511" width="0" hidden="1" customWidth="1"/>
    <col min="10512" max="10513" width="15.28515625" customWidth="1"/>
    <col min="10514" max="10514" width="13.7109375" customWidth="1"/>
    <col min="10515" max="10515" width="10.5703125" customWidth="1"/>
    <col min="10516" max="10517" width="14.140625" customWidth="1"/>
    <col min="10520" max="10520" width="11.28515625" customWidth="1"/>
    <col min="10753" max="10753" width="10.85546875" customWidth="1"/>
    <col min="10755" max="10755" width="34.140625" customWidth="1"/>
    <col min="10756" max="10767" width="0" hidden="1" customWidth="1"/>
    <col min="10768" max="10769" width="15.28515625" customWidth="1"/>
    <col min="10770" max="10770" width="13.7109375" customWidth="1"/>
    <col min="10771" max="10771" width="10.5703125" customWidth="1"/>
    <col min="10772" max="10773" width="14.140625" customWidth="1"/>
    <col min="10776" max="10776" width="11.28515625" customWidth="1"/>
    <col min="11009" max="11009" width="10.85546875" customWidth="1"/>
    <col min="11011" max="11011" width="34.140625" customWidth="1"/>
    <col min="11012" max="11023" width="0" hidden="1" customWidth="1"/>
    <col min="11024" max="11025" width="15.28515625" customWidth="1"/>
    <col min="11026" max="11026" width="13.7109375" customWidth="1"/>
    <col min="11027" max="11027" width="10.5703125" customWidth="1"/>
    <col min="11028" max="11029" width="14.140625" customWidth="1"/>
    <col min="11032" max="11032" width="11.28515625" customWidth="1"/>
    <col min="11265" max="11265" width="10.85546875" customWidth="1"/>
    <col min="11267" max="11267" width="34.140625" customWidth="1"/>
    <col min="11268" max="11279" width="0" hidden="1" customWidth="1"/>
    <col min="11280" max="11281" width="15.28515625" customWidth="1"/>
    <col min="11282" max="11282" width="13.7109375" customWidth="1"/>
    <col min="11283" max="11283" width="10.5703125" customWidth="1"/>
    <col min="11284" max="11285" width="14.140625" customWidth="1"/>
    <col min="11288" max="11288" width="11.28515625" customWidth="1"/>
    <col min="11521" max="11521" width="10.85546875" customWidth="1"/>
    <col min="11523" max="11523" width="34.140625" customWidth="1"/>
    <col min="11524" max="11535" width="0" hidden="1" customWidth="1"/>
    <col min="11536" max="11537" width="15.28515625" customWidth="1"/>
    <col min="11538" max="11538" width="13.7109375" customWidth="1"/>
    <col min="11539" max="11539" width="10.5703125" customWidth="1"/>
    <col min="11540" max="11541" width="14.140625" customWidth="1"/>
    <col min="11544" max="11544" width="11.28515625" customWidth="1"/>
    <col min="11777" max="11777" width="10.85546875" customWidth="1"/>
    <col min="11779" max="11779" width="34.140625" customWidth="1"/>
    <col min="11780" max="11791" width="0" hidden="1" customWidth="1"/>
    <col min="11792" max="11793" width="15.28515625" customWidth="1"/>
    <col min="11794" max="11794" width="13.7109375" customWidth="1"/>
    <col min="11795" max="11795" width="10.5703125" customWidth="1"/>
    <col min="11796" max="11797" width="14.140625" customWidth="1"/>
    <col min="11800" max="11800" width="11.28515625" customWidth="1"/>
    <col min="12033" max="12033" width="10.85546875" customWidth="1"/>
    <col min="12035" max="12035" width="34.140625" customWidth="1"/>
    <col min="12036" max="12047" width="0" hidden="1" customWidth="1"/>
    <col min="12048" max="12049" width="15.28515625" customWidth="1"/>
    <col min="12050" max="12050" width="13.7109375" customWidth="1"/>
    <col min="12051" max="12051" width="10.5703125" customWidth="1"/>
    <col min="12052" max="12053" width="14.140625" customWidth="1"/>
    <col min="12056" max="12056" width="11.28515625" customWidth="1"/>
    <col min="12289" max="12289" width="10.85546875" customWidth="1"/>
    <col min="12291" max="12291" width="34.140625" customWidth="1"/>
    <col min="12292" max="12303" width="0" hidden="1" customWidth="1"/>
    <col min="12304" max="12305" width="15.28515625" customWidth="1"/>
    <col min="12306" max="12306" width="13.7109375" customWidth="1"/>
    <col min="12307" max="12307" width="10.5703125" customWidth="1"/>
    <col min="12308" max="12309" width="14.140625" customWidth="1"/>
    <col min="12312" max="12312" width="11.28515625" customWidth="1"/>
    <col min="12545" max="12545" width="10.85546875" customWidth="1"/>
    <col min="12547" max="12547" width="34.140625" customWidth="1"/>
    <col min="12548" max="12559" width="0" hidden="1" customWidth="1"/>
    <col min="12560" max="12561" width="15.28515625" customWidth="1"/>
    <col min="12562" max="12562" width="13.7109375" customWidth="1"/>
    <col min="12563" max="12563" width="10.5703125" customWidth="1"/>
    <col min="12564" max="12565" width="14.140625" customWidth="1"/>
    <col min="12568" max="12568" width="11.28515625" customWidth="1"/>
    <col min="12801" max="12801" width="10.85546875" customWidth="1"/>
    <col min="12803" max="12803" width="34.140625" customWidth="1"/>
    <col min="12804" max="12815" width="0" hidden="1" customWidth="1"/>
    <col min="12816" max="12817" width="15.28515625" customWidth="1"/>
    <col min="12818" max="12818" width="13.7109375" customWidth="1"/>
    <col min="12819" max="12819" width="10.5703125" customWidth="1"/>
    <col min="12820" max="12821" width="14.140625" customWidth="1"/>
    <col min="12824" max="12824" width="11.28515625" customWidth="1"/>
    <col min="13057" max="13057" width="10.85546875" customWidth="1"/>
    <col min="13059" max="13059" width="34.140625" customWidth="1"/>
    <col min="13060" max="13071" width="0" hidden="1" customWidth="1"/>
    <col min="13072" max="13073" width="15.28515625" customWidth="1"/>
    <col min="13074" max="13074" width="13.7109375" customWidth="1"/>
    <col min="13075" max="13075" width="10.5703125" customWidth="1"/>
    <col min="13076" max="13077" width="14.140625" customWidth="1"/>
    <col min="13080" max="13080" width="11.28515625" customWidth="1"/>
    <col min="13313" max="13313" width="10.85546875" customWidth="1"/>
    <col min="13315" max="13315" width="34.140625" customWidth="1"/>
    <col min="13316" max="13327" width="0" hidden="1" customWidth="1"/>
    <col min="13328" max="13329" width="15.28515625" customWidth="1"/>
    <col min="13330" max="13330" width="13.7109375" customWidth="1"/>
    <col min="13331" max="13331" width="10.5703125" customWidth="1"/>
    <col min="13332" max="13333" width="14.140625" customWidth="1"/>
    <col min="13336" max="13336" width="11.28515625" customWidth="1"/>
    <col min="13569" max="13569" width="10.85546875" customWidth="1"/>
    <col min="13571" max="13571" width="34.140625" customWidth="1"/>
    <col min="13572" max="13583" width="0" hidden="1" customWidth="1"/>
    <col min="13584" max="13585" width="15.28515625" customWidth="1"/>
    <col min="13586" max="13586" width="13.7109375" customWidth="1"/>
    <col min="13587" max="13587" width="10.5703125" customWidth="1"/>
    <col min="13588" max="13589" width="14.140625" customWidth="1"/>
    <col min="13592" max="13592" width="11.28515625" customWidth="1"/>
    <col min="13825" max="13825" width="10.85546875" customWidth="1"/>
    <col min="13827" max="13827" width="34.140625" customWidth="1"/>
    <col min="13828" max="13839" width="0" hidden="1" customWidth="1"/>
    <col min="13840" max="13841" width="15.28515625" customWidth="1"/>
    <col min="13842" max="13842" width="13.7109375" customWidth="1"/>
    <col min="13843" max="13843" width="10.5703125" customWidth="1"/>
    <col min="13844" max="13845" width="14.140625" customWidth="1"/>
    <col min="13848" max="13848" width="11.28515625" customWidth="1"/>
    <col min="14081" max="14081" width="10.85546875" customWidth="1"/>
    <col min="14083" max="14083" width="34.140625" customWidth="1"/>
    <col min="14084" max="14095" width="0" hidden="1" customWidth="1"/>
    <col min="14096" max="14097" width="15.28515625" customWidth="1"/>
    <col min="14098" max="14098" width="13.7109375" customWidth="1"/>
    <col min="14099" max="14099" width="10.5703125" customWidth="1"/>
    <col min="14100" max="14101" width="14.140625" customWidth="1"/>
    <col min="14104" max="14104" width="11.28515625" customWidth="1"/>
    <col min="14337" max="14337" width="10.85546875" customWidth="1"/>
    <col min="14339" max="14339" width="34.140625" customWidth="1"/>
    <col min="14340" max="14351" width="0" hidden="1" customWidth="1"/>
    <col min="14352" max="14353" width="15.28515625" customWidth="1"/>
    <col min="14354" max="14354" width="13.7109375" customWidth="1"/>
    <col min="14355" max="14355" width="10.5703125" customWidth="1"/>
    <col min="14356" max="14357" width="14.140625" customWidth="1"/>
    <col min="14360" max="14360" width="11.28515625" customWidth="1"/>
    <col min="14593" max="14593" width="10.85546875" customWidth="1"/>
    <col min="14595" max="14595" width="34.140625" customWidth="1"/>
    <col min="14596" max="14607" width="0" hidden="1" customWidth="1"/>
    <col min="14608" max="14609" width="15.28515625" customWidth="1"/>
    <col min="14610" max="14610" width="13.7109375" customWidth="1"/>
    <col min="14611" max="14611" width="10.5703125" customWidth="1"/>
    <col min="14612" max="14613" width="14.140625" customWidth="1"/>
    <col min="14616" max="14616" width="11.28515625" customWidth="1"/>
    <col min="14849" max="14849" width="10.85546875" customWidth="1"/>
    <col min="14851" max="14851" width="34.140625" customWidth="1"/>
    <col min="14852" max="14863" width="0" hidden="1" customWidth="1"/>
    <col min="14864" max="14865" width="15.28515625" customWidth="1"/>
    <col min="14866" max="14866" width="13.7109375" customWidth="1"/>
    <col min="14867" max="14867" width="10.5703125" customWidth="1"/>
    <col min="14868" max="14869" width="14.140625" customWidth="1"/>
    <col min="14872" max="14872" width="11.28515625" customWidth="1"/>
    <col min="15105" max="15105" width="10.85546875" customWidth="1"/>
    <col min="15107" max="15107" width="34.140625" customWidth="1"/>
    <col min="15108" max="15119" width="0" hidden="1" customWidth="1"/>
    <col min="15120" max="15121" width="15.28515625" customWidth="1"/>
    <col min="15122" max="15122" width="13.7109375" customWidth="1"/>
    <col min="15123" max="15123" width="10.5703125" customWidth="1"/>
    <col min="15124" max="15125" width="14.140625" customWidth="1"/>
    <col min="15128" max="15128" width="11.28515625" customWidth="1"/>
    <col min="15361" max="15361" width="10.85546875" customWidth="1"/>
    <col min="15363" max="15363" width="34.140625" customWidth="1"/>
    <col min="15364" max="15375" width="0" hidden="1" customWidth="1"/>
    <col min="15376" max="15377" width="15.28515625" customWidth="1"/>
    <col min="15378" max="15378" width="13.7109375" customWidth="1"/>
    <col min="15379" max="15379" width="10.5703125" customWidth="1"/>
    <col min="15380" max="15381" width="14.140625" customWidth="1"/>
    <col min="15384" max="15384" width="11.28515625" customWidth="1"/>
    <col min="15617" max="15617" width="10.85546875" customWidth="1"/>
    <col min="15619" max="15619" width="34.140625" customWidth="1"/>
    <col min="15620" max="15631" width="0" hidden="1" customWidth="1"/>
    <col min="15632" max="15633" width="15.28515625" customWidth="1"/>
    <col min="15634" max="15634" width="13.7109375" customWidth="1"/>
    <col min="15635" max="15635" width="10.5703125" customWidth="1"/>
    <col min="15636" max="15637" width="14.140625" customWidth="1"/>
    <col min="15640" max="15640" width="11.28515625" customWidth="1"/>
    <col min="15873" max="15873" width="10.85546875" customWidth="1"/>
    <col min="15875" max="15875" width="34.140625" customWidth="1"/>
    <col min="15876" max="15887" width="0" hidden="1" customWidth="1"/>
    <col min="15888" max="15889" width="15.28515625" customWidth="1"/>
    <col min="15890" max="15890" width="13.7109375" customWidth="1"/>
    <col min="15891" max="15891" width="10.5703125" customWidth="1"/>
    <col min="15892" max="15893" width="14.140625" customWidth="1"/>
    <col min="15896" max="15896" width="11.28515625" customWidth="1"/>
    <col min="16129" max="16129" width="10.85546875" customWidth="1"/>
    <col min="16131" max="16131" width="34.140625" customWidth="1"/>
    <col min="16132" max="16143" width="0" hidden="1" customWidth="1"/>
    <col min="16144" max="16145" width="15.28515625" customWidth="1"/>
    <col min="16146" max="16146" width="13.7109375" customWidth="1"/>
    <col min="16147" max="16147" width="10.5703125" customWidth="1"/>
    <col min="16148" max="16149" width="14.140625" customWidth="1"/>
    <col min="16152" max="16152" width="11.28515625" customWidth="1"/>
  </cols>
  <sheetData>
    <row r="1" spans="1:33" ht="15.75" thickBot="1" x14ac:dyDescent="0.3">
      <c r="A1" s="859" t="s">
        <v>305</v>
      </c>
      <c r="B1" s="859"/>
      <c r="C1" s="859"/>
      <c r="D1" s="859"/>
      <c r="E1" s="859"/>
      <c r="F1" s="859"/>
      <c r="G1" s="859"/>
      <c r="H1" s="859"/>
      <c r="I1" s="859"/>
      <c r="J1" s="859"/>
    </row>
    <row r="2" spans="1:33" ht="13.5" customHeight="1" thickTop="1" x14ac:dyDescent="0.25">
      <c r="A2" s="801" t="s">
        <v>120</v>
      </c>
      <c r="B2" s="860" t="s">
        <v>1</v>
      </c>
      <c r="C2" s="805" t="s">
        <v>121</v>
      </c>
      <c r="D2" s="751" t="s">
        <v>122</v>
      </c>
      <c r="E2" s="751" t="s">
        <v>123</v>
      </c>
      <c r="F2" s="751" t="s">
        <v>124</v>
      </c>
      <c r="G2" s="751" t="s">
        <v>125</v>
      </c>
      <c r="H2" s="751" t="s">
        <v>126</v>
      </c>
      <c r="I2" s="751" t="s">
        <v>8</v>
      </c>
      <c r="J2" s="751" t="s">
        <v>9</v>
      </c>
      <c r="K2" s="751" t="s">
        <v>10</v>
      </c>
      <c r="L2" s="751" t="s">
        <v>11</v>
      </c>
      <c r="M2" s="785" t="s">
        <v>306</v>
      </c>
      <c r="N2" s="785" t="s">
        <v>13</v>
      </c>
      <c r="O2" s="751" t="s">
        <v>14</v>
      </c>
      <c r="P2" s="751" t="s">
        <v>15</v>
      </c>
      <c r="Q2" s="751" t="s">
        <v>16</v>
      </c>
      <c r="R2" s="753" t="s">
        <v>17</v>
      </c>
      <c r="S2" s="791" t="s">
        <v>18</v>
      </c>
      <c r="T2" s="785" t="s">
        <v>426</v>
      </c>
      <c r="U2" s="787" t="s">
        <v>427</v>
      </c>
      <c r="X2" s="430"/>
      <c r="Y2" s="430"/>
      <c r="Z2" s="430"/>
      <c r="AA2" s="430"/>
      <c r="AB2" s="430"/>
      <c r="AC2" s="430"/>
      <c r="AD2" s="430"/>
      <c r="AE2" s="430"/>
      <c r="AF2" s="430"/>
      <c r="AG2" s="430"/>
    </row>
    <row r="3" spans="1:33" ht="30" customHeight="1" thickBot="1" x14ac:dyDescent="0.3">
      <c r="A3" s="802"/>
      <c r="B3" s="861"/>
      <c r="C3" s="806"/>
      <c r="D3" s="752"/>
      <c r="E3" s="752"/>
      <c r="F3" s="752"/>
      <c r="G3" s="752"/>
      <c r="H3" s="752"/>
      <c r="I3" s="752"/>
      <c r="J3" s="752"/>
      <c r="K3" s="752"/>
      <c r="L3" s="752"/>
      <c r="M3" s="786"/>
      <c r="N3" s="786"/>
      <c r="O3" s="752"/>
      <c r="P3" s="752"/>
      <c r="Q3" s="752"/>
      <c r="R3" s="754"/>
      <c r="S3" s="792"/>
      <c r="T3" s="786"/>
      <c r="U3" s="788"/>
      <c r="X3" s="430"/>
      <c r="Y3" s="430"/>
      <c r="Z3" s="430"/>
      <c r="AA3" s="430"/>
      <c r="AB3" s="430"/>
      <c r="AC3" s="430"/>
      <c r="AD3" s="430"/>
      <c r="AE3" s="430"/>
      <c r="AF3" s="430"/>
      <c r="AG3" s="430"/>
    </row>
    <row r="4" spans="1:33" ht="16.5" thickTop="1" thickBot="1" x14ac:dyDescent="0.3">
      <c r="A4" s="240" t="s">
        <v>127</v>
      </c>
      <c r="B4" s="863" t="s">
        <v>307</v>
      </c>
      <c r="C4" s="863"/>
      <c r="D4" s="431">
        <v>372735</v>
      </c>
      <c r="E4" s="431">
        <v>64629</v>
      </c>
      <c r="F4" s="431">
        <v>39833</v>
      </c>
      <c r="G4" s="431">
        <v>3383</v>
      </c>
      <c r="H4" s="431"/>
      <c r="I4" s="432">
        <v>18260</v>
      </c>
      <c r="J4" s="432">
        <v>0</v>
      </c>
      <c r="K4" s="432">
        <v>0</v>
      </c>
      <c r="L4" s="432">
        <v>0</v>
      </c>
      <c r="M4" s="432">
        <v>0</v>
      </c>
      <c r="N4" s="431">
        <v>6946.8</v>
      </c>
      <c r="O4" s="431">
        <v>10541.5</v>
      </c>
      <c r="P4" s="431">
        <v>23813.83</v>
      </c>
      <c r="Q4" s="431">
        <v>20000</v>
      </c>
      <c r="R4" s="431">
        <v>0</v>
      </c>
      <c r="S4" s="433">
        <v>0</v>
      </c>
      <c r="T4" s="431">
        <v>0</v>
      </c>
      <c r="U4" s="693">
        <v>0</v>
      </c>
    </row>
    <row r="5" spans="1:33" ht="15.75" thickBot="1" x14ac:dyDescent="0.3">
      <c r="A5" s="809"/>
      <c r="B5" s="864"/>
      <c r="C5" s="94"/>
      <c r="D5" s="49"/>
      <c r="E5" s="49"/>
      <c r="F5" s="49"/>
      <c r="G5" s="49"/>
      <c r="H5" s="75"/>
      <c r="I5" s="75"/>
      <c r="J5" s="75"/>
      <c r="K5" s="49"/>
      <c r="L5" s="49"/>
      <c r="M5" s="49"/>
      <c r="N5" s="49"/>
      <c r="O5" s="49"/>
      <c r="P5" s="49"/>
      <c r="Q5" s="49"/>
      <c r="R5" s="76"/>
      <c r="S5" s="95">
        <v>0</v>
      </c>
      <c r="T5" s="76"/>
      <c r="U5" s="395"/>
    </row>
    <row r="6" spans="1:33" ht="15.75" hidden="1" thickBot="1" x14ac:dyDescent="0.3">
      <c r="A6" s="810"/>
      <c r="B6" s="865"/>
      <c r="C6" s="94"/>
      <c r="D6" s="49"/>
      <c r="E6" s="49"/>
      <c r="F6" s="49"/>
      <c r="G6" s="49"/>
      <c r="H6" s="75"/>
      <c r="I6" s="75"/>
      <c r="J6" s="75"/>
      <c r="K6" s="49"/>
      <c r="L6" s="49"/>
      <c r="M6" s="49"/>
      <c r="N6" s="49"/>
      <c r="O6" s="49"/>
      <c r="P6" s="49"/>
      <c r="Q6" s="49"/>
      <c r="R6" s="76"/>
      <c r="S6" s="95">
        <v>0</v>
      </c>
      <c r="T6" s="76"/>
      <c r="U6" s="395"/>
    </row>
    <row r="7" spans="1:33" ht="15.75" hidden="1" thickBot="1" x14ac:dyDescent="0.3">
      <c r="A7" s="810"/>
      <c r="B7" s="865"/>
      <c r="C7" s="94"/>
      <c r="D7" s="49"/>
      <c r="E7" s="49"/>
      <c r="F7" s="49"/>
      <c r="G7" s="49"/>
      <c r="H7" s="75"/>
      <c r="I7" s="75"/>
      <c r="J7" s="75"/>
      <c r="K7" s="49"/>
      <c r="L7" s="49"/>
      <c r="M7" s="49"/>
      <c r="N7" s="49"/>
      <c r="O7" s="49"/>
      <c r="P7" s="49"/>
      <c r="Q7" s="49"/>
      <c r="R7" s="76"/>
      <c r="S7" s="95">
        <v>0</v>
      </c>
      <c r="T7" s="76"/>
      <c r="U7" s="395"/>
    </row>
    <row r="8" spans="1:33" ht="15.75" hidden="1" thickBot="1" x14ac:dyDescent="0.3">
      <c r="A8" s="811"/>
      <c r="B8" s="866"/>
      <c r="C8" s="94"/>
      <c r="D8" s="49"/>
      <c r="E8" s="49"/>
      <c r="F8" s="49"/>
      <c r="G8" s="49"/>
      <c r="H8" s="75"/>
      <c r="I8" s="75"/>
      <c r="J8" s="75"/>
      <c r="K8" s="49"/>
      <c r="L8" s="49"/>
      <c r="M8" s="49"/>
      <c r="N8" s="49"/>
      <c r="O8" s="49"/>
      <c r="P8" s="49"/>
      <c r="Q8" s="49"/>
      <c r="R8" s="76"/>
      <c r="S8" s="95">
        <v>0</v>
      </c>
      <c r="T8" s="95"/>
      <c r="U8" s="691"/>
    </row>
    <row r="9" spans="1:33" ht="15.75" thickBot="1" x14ac:dyDescent="0.3">
      <c r="A9" s="163" t="s">
        <v>149</v>
      </c>
      <c r="B9" s="862" t="s">
        <v>308</v>
      </c>
      <c r="C9" s="862"/>
      <c r="D9" s="192">
        <v>17958</v>
      </c>
      <c r="E9" s="192">
        <v>0</v>
      </c>
      <c r="F9" s="192">
        <v>19916</v>
      </c>
      <c r="G9" s="192">
        <v>18253</v>
      </c>
      <c r="H9" s="192">
        <v>16675</v>
      </c>
      <c r="I9" s="423">
        <v>3031</v>
      </c>
      <c r="J9" s="423">
        <v>0</v>
      </c>
      <c r="K9" s="87">
        <f>SUM(K10:K11)</f>
        <v>10398</v>
      </c>
      <c r="L9" s="87"/>
      <c r="M9" s="87">
        <f>SUM(M10:M11)</f>
        <v>0</v>
      </c>
      <c r="N9" s="87">
        <v>5666.4</v>
      </c>
      <c r="O9" s="87">
        <v>10703.82</v>
      </c>
      <c r="P9" s="87">
        <v>12513.86</v>
      </c>
      <c r="Q9" s="87">
        <v>15000</v>
      </c>
      <c r="R9" s="87">
        <v>0</v>
      </c>
      <c r="S9" s="88">
        <v>0</v>
      </c>
      <c r="T9" s="87">
        <v>0</v>
      </c>
      <c r="U9" s="636">
        <v>0</v>
      </c>
    </row>
    <row r="10" spans="1:33" ht="15.75" thickBot="1" x14ac:dyDescent="0.3">
      <c r="A10" s="434"/>
      <c r="B10" s="864"/>
      <c r="C10" s="60" t="s">
        <v>309</v>
      </c>
      <c r="D10" s="21"/>
      <c r="E10" s="21"/>
      <c r="F10" s="21"/>
      <c r="G10" s="21"/>
      <c r="H10" s="74"/>
      <c r="I10" s="74"/>
      <c r="J10" s="74"/>
      <c r="K10" s="21">
        <v>10398</v>
      </c>
      <c r="L10" s="21"/>
      <c r="M10" s="21"/>
      <c r="N10" s="21"/>
      <c r="O10" s="21"/>
      <c r="P10" s="21"/>
      <c r="Q10" s="21"/>
      <c r="R10" s="61"/>
      <c r="S10" s="130">
        <v>0</v>
      </c>
      <c r="T10" s="61"/>
      <c r="U10" s="694"/>
    </row>
    <row r="11" spans="1:33" ht="15.75" hidden="1" thickBot="1" x14ac:dyDescent="0.3">
      <c r="A11" s="434"/>
      <c r="B11" s="866"/>
      <c r="C11" s="186" t="s">
        <v>310</v>
      </c>
      <c r="D11" s="93"/>
      <c r="E11" s="93"/>
      <c r="F11" s="93"/>
      <c r="G11" s="93"/>
      <c r="H11" s="91"/>
      <c r="I11" s="91"/>
      <c r="J11" s="91"/>
      <c r="K11" s="93"/>
      <c r="L11" s="93"/>
      <c r="M11" s="93"/>
      <c r="N11" s="93"/>
      <c r="O11" s="93"/>
      <c r="P11" s="93"/>
      <c r="Q11" s="93"/>
      <c r="R11" s="76"/>
      <c r="S11" s="95">
        <v>0</v>
      </c>
      <c r="T11" s="76"/>
      <c r="U11" s="395"/>
    </row>
    <row r="12" spans="1:33" ht="15.75" thickBot="1" x14ac:dyDescent="0.3">
      <c r="A12" s="163" t="s">
        <v>159</v>
      </c>
      <c r="B12" s="862" t="s">
        <v>311</v>
      </c>
      <c r="C12" s="862"/>
      <c r="D12" s="192">
        <v>894211</v>
      </c>
      <c r="E12" s="192">
        <v>382958</v>
      </c>
      <c r="F12" s="192">
        <v>343590</v>
      </c>
      <c r="G12" s="192">
        <v>610914</v>
      </c>
      <c r="H12" s="192">
        <v>1718795</v>
      </c>
      <c r="I12" s="423">
        <v>495900</v>
      </c>
      <c r="J12" s="192">
        <v>421522</v>
      </c>
      <c r="K12" s="87">
        <f>SUM(K13:K29)</f>
        <v>2058954</v>
      </c>
      <c r="L12" s="87">
        <v>108548.12</v>
      </c>
      <c r="M12" s="88">
        <f>SUM(M13:M29)</f>
        <v>187078.06</v>
      </c>
      <c r="N12" s="87">
        <v>923357.06</v>
      </c>
      <c r="O12" s="87">
        <v>421573.23</v>
      </c>
      <c r="P12" s="87">
        <v>904828.37</v>
      </c>
      <c r="Q12" s="87">
        <v>2113155</v>
      </c>
      <c r="R12" s="87">
        <v>945147</v>
      </c>
      <c r="S12" s="88">
        <v>2.2419521277477701</v>
      </c>
      <c r="T12" s="87">
        <v>0</v>
      </c>
      <c r="U12" s="636">
        <v>0</v>
      </c>
    </row>
    <row r="13" spans="1:33" x14ac:dyDescent="0.25">
      <c r="A13" s="810"/>
      <c r="B13" s="870"/>
      <c r="C13" s="94" t="s">
        <v>312</v>
      </c>
      <c r="D13" s="49"/>
      <c r="E13" s="49"/>
      <c r="F13" s="49"/>
      <c r="G13" s="49"/>
      <c r="H13" s="75"/>
      <c r="I13" s="75"/>
      <c r="J13" s="49"/>
      <c r="K13" s="49">
        <v>47371</v>
      </c>
      <c r="L13" s="49">
        <v>31209.200000000001</v>
      </c>
      <c r="M13" s="48">
        <v>11397.78</v>
      </c>
      <c r="N13" s="49"/>
      <c r="O13" s="49"/>
      <c r="P13" s="49"/>
      <c r="Q13" s="49"/>
      <c r="R13" s="76">
        <v>25019</v>
      </c>
      <c r="S13" s="95">
        <v>0</v>
      </c>
      <c r="T13" s="76"/>
      <c r="U13" s="395"/>
    </row>
    <row r="14" spans="1:33" hidden="1" x14ac:dyDescent="0.25">
      <c r="A14" s="810"/>
      <c r="B14" s="870"/>
      <c r="C14" s="94" t="s">
        <v>313</v>
      </c>
      <c r="D14" s="49"/>
      <c r="E14" s="49"/>
      <c r="F14" s="49"/>
      <c r="G14" s="49"/>
      <c r="H14" s="75"/>
      <c r="I14" s="75"/>
      <c r="J14" s="49"/>
      <c r="K14" s="49"/>
      <c r="L14" s="49"/>
      <c r="M14" s="48"/>
      <c r="N14" s="49"/>
      <c r="O14" s="49"/>
      <c r="P14" s="49"/>
      <c r="Q14" s="49"/>
      <c r="R14" s="76"/>
      <c r="S14" s="95">
        <v>0</v>
      </c>
      <c r="T14" s="76"/>
      <c r="U14" s="395"/>
    </row>
    <row r="15" spans="1:33" hidden="1" x14ac:dyDescent="0.25">
      <c r="A15" s="810"/>
      <c r="B15" s="870"/>
      <c r="C15" s="62" t="s">
        <v>314</v>
      </c>
      <c r="D15" s="27"/>
      <c r="E15" s="27"/>
      <c r="F15" s="27"/>
      <c r="G15" s="27"/>
      <c r="H15" s="77"/>
      <c r="I15" s="77"/>
      <c r="J15" s="27"/>
      <c r="K15" s="27"/>
      <c r="L15" s="49"/>
      <c r="M15" s="48">
        <v>4562.8</v>
      </c>
      <c r="N15" s="49"/>
      <c r="O15" s="49"/>
      <c r="P15" s="49"/>
      <c r="Q15" s="49"/>
      <c r="R15" s="76"/>
      <c r="S15" s="95">
        <v>0</v>
      </c>
      <c r="T15" s="76"/>
      <c r="U15" s="395"/>
    </row>
    <row r="16" spans="1:33" hidden="1" x14ac:dyDescent="0.25">
      <c r="A16" s="810"/>
      <c r="B16" s="870"/>
      <c r="C16" s="65" t="s">
        <v>315</v>
      </c>
      <c r="D16" s="52"/>
      <c r="E16" s="52"/>
      <c r="F16" s="52"/>
      <c r="G16" s="52"/>
      <c r="H16" s="86"/>
      <c r="I16" s="86"/>
      <c r="J16" s="52"/>
      <c r="K16" s="52"/>
      <c r="L16" s="49"/>
      <c r="M16" s="48"/>
      <c r="N16" s="49"/>
      <c r="O16" s="49"/>
      <c r="P16" s="49"/>
      <c r="Q16" s="49"/>
      <c r="R16" s="76"/>
      <c r="S16" s="95">
        <v>0</v>
      </c>
      <c r="T16" s="76"/>
      <c r="U16" s="395"/>
    </row>
    <row r="17" spans="1:24" hidden="1" x14ac:dyDescent="0.25">
      <c r="A17" s="810"/>
      <c r="B17" s="870"/>
      <c r="C17" s="65" t="s">
        <v>316</v>
      </c>
      <c r="D17" s="52"/>
      <c r="E17" s="52"/>
      <c r="F17" s="52"/>
      <c r="G17" s="52"/>
      <c r="H17" s="86"/>
      <c r="I17" s="86"/>
      <c r="J17" s="52"/>
      <c r="K17" s="52">
        <v>282056</v>
      </c>
      <c r="L17" s="49"/>
      <c r="M17" s="131">
        <v>0</v>
      </c>
      <c r="N17" s="76"/>
      <c r="O17" s="76"/>
      <c r="P17" s="76"/>
      <c r="Q17" s="76"/>
      <c r="R17" s="435"/>
      <c r="S17" s="95">
        <v>0</v>
      </c>
      <c r="T17" s="76"/>
      <c r="U17" s="395"/>
    </row>
    <row r="18" spans="1:24" hidden="1" x14ac:dyDescent="0.25">
      <c r="A18" s="810"/>
      <c r="B18" s="870"/>
      <c r="C18" s="65" t="s">
        <v>317</v>
      </c>
      <c r="D18" s="27"/>
      <c r="E18" s="27"/>
      <c r="F18" s="27"/>
      <c r="G18" s="27"/>
      <c r="H18" s="77"/>
      <c r="I18" s="77"/>
      <c r="J18" s="27"/>
      <c r="K18" s="27">
        <v>881052</v>
      </c>
      <c r="L18" s="49">
        <v>70504.899999999994</v>
      </c>
      <c r="M18" s="48"/>
      <c r="N18" s="49"/>
      <c r="O18" s="49"/>
      <c r="P18" s="49"/>
      <c r="Q18" s="49"/>
      <c r="R18" s="76"/>
      <c r="S18" s="95">
        <v>0</v>
      </c>
      <c r="T18" s="76"/>
      <c r="U18" s="395"/>
    </row>
    <row r="19" spans="1:24" hidden="1" x14ac:dyDescent="0.25">
      <c r="A19" s="810"/>
      <c r="B19" s="870"/>
      <c r="C19" s="62" t="s">
        <v>318</v>
      </c>
      <c r="D19" s="27"/>
      <c r="E19" s="27"/>
      <c r="F19" s="27"/>
      <c r="G19" s="27"/>
      <c r="H19" s="77"/>
      <c r="I19" s="77"/>
      <c r="J19" s="27"/>
      <c r="K19" s="27">
        <v>100004</v>
      </c>
      <c r="L19" s="49"/>
      <c r="M19" s="48">
        <v>13200</v>
      </c>
      <c r="N19" s="49"/>
      <c r="O19" s="49"/>
      <c r="P19" s="49"/>
      <c r="Q19" s="49"/>
      <c r="R19" s="76"/>
      <c r="S19" s="95">
        <v>0</v>
      </c>
      <c r="T19" s="76"/>
      <c r="U19" s="395"/>
    </row>
    <row r="20" spans="1:24" ht="15.75" thickBot="1" x14ac:dyDescent="0.3">
      <c r="A20" s="810"/>
      <c r="B20" s="870"/>
      <c r="C20" s="62" t="s">
        <v>319</v>
      </c>
      <c r="D20" s="27"/>
      <c r="E20" s="27"/>
      <c r="F20" s="27"/>
      <c r="G20" s="27"/>
      <c r="H20" s="77"/>
      <c r="I20" s="77"/>
      <c r="J20" s="27"/>
      <c r="K20" s="27">
        <v>0</v>
      </c>
      <c r="L20" s="49"/>
      <c r="M20" s="48"/>
      <c r="N20" s="49"/>
      <c r="O20" s="49"/>
      <c r="P20" s="49"/>
      <c r="Q20" s="49"/>
      <c r="R20" s="76">
        <v>920128</v>
      </c>
      <c r="S20" s="95">
        <v>0</v>
      </c>
      <c r="T20" s="76"/>
      <c r="U20" s="395"/>
    </row>
    <row r="21" spans="1:24" ht="15.75" hidden="1" thickBot="1" x14ac:dyDescent="0.3">
      <c r="A21" s="810"/>
      <c r="B21" s="870"/>
      <c r="C21" s="62" t="s">
        <v>320</v>
      </c>
      <c r="D21" s="27"/>
      <c r="E21" s="27"/>
      <c r="F21" s="27"/>
      <c r="G21" s="27"/>
      <c r="H21" s="77"/>
      <c r="I21" s="77"/>
      <c r="J21" s="27"/>
      <c r="K21" s="27"/>
      <c r="L21" s="49"/>
      <c r="M21" s="48">
        <v>144897.48000000001</v>
      </c>
      <c r="N21" s="49"/>
      <c r="O21" s="49"/>
      <c r="P21" s="49"/>
      <c r="Q21" s="49"/>
      <c r="R21" s="76"/>
      <c r="S21" s="95">
        <v>0</v>
      </c>
      <c r="T21" s="76"/>
      <c r="U21" s="395"/>
    </row>
    <row r="22" spans="1:24" ht="15.75" hidden="1" thickBot="1" x14ac:dyDescent="0.3">
      <c r="A22" s="810"/>
      <c r="B22" s="870"/>
      <c r="C22" s="62" t="s">
        <v>321</v>
      </c>
      <c r="D22" s="27"/>
      <c r="E22" s="27"/>
      <c r="F22" s="27"/>
      <c r="G22" s="27"/>
      <c r="H22" s="77"/>
      <c r="I22" s="77"/>
      <c r="J22" s="27"/>
      <c r="K22" s="27"/>
      <c r="L22" s="49"/>
      <c r="M22" s="48"/>
      <c r="N22" s="49"/>
      <c r="O22" s="49"/>
      <c r="P22" s="49"/>
      <c r="Q22" s="49"/>
      <c r="R22" s="76"/>
      <c r="S22" s="95">
        <v>0</v>
      </c>
      <c r="T22" s="76"/>
      <c r="U22" s="395"/>
    </row>
    <row r="23" spans="1:24" ht="15.75" hidden="1" thickBot="1" x14ac:dyDescent="0.3">
      <c r="A23" s="810"/>
      <c r="B23" s="870"/>
      <c r="C23" s="62" t="s">
        <v>322</v>
      </c>
      <c r="D23" s="27"/>
      <c r="E23" s="27"/>
      <c r="F23" s="27"/>
      <c r="G23" s="27"/>
      <c r="H23" s="77"/>
      <c r="I23" s="77"/>
      <c r="J23" s="27"/>
      <c r="K23" s="27"/>
      <c r="L23" s="27"/>
      <c r="M23" s="26"/>
      <c r="N23" s="27"/>
      <c r="O23" s="27"/>
      <c r="P23" s="27"/>
      <c r="Q23" s="27"/>
      <c r="R23" s="436"/>
      <c r="S23" s="95">
        <v>0</v>
      </c>
      <c r="T23" s="63"/>
      <c r="U23" s="421"/>
    </row>
    <row r="24" spans="1:24" ht="15.75" hidden="1" thickBot="1" x14ac:dyDescent="0.3">
      <c r="A24" s="810"/>
      <c r="B24" s="870"/>
      <c r="C24" s="62" t="s">
        <v>323</v>
      </c>
      <c r="D24" s="27"/>
      <c r="E24" s="27"/>
      <c r="F24" s="27"/>
      <c r="G24" s="27"/>
      <c r="H24" s="77"/>
      <c r="I24" s="77"/>
      <c r="J24" s="27"/>
      <c r="K24" s="27"/>
      <c r="L24" s="27"/>
      <c r="M24" s="26"/>
      <c r="N24" s="27"/>
      <c r="O24" s="27"/>
      <c r="P24" s="27"/>
      <c r="Q24" s="27"/>
      <c r="R24" s="63"/>
      <c r="S24" s="95">
        <v>0</v>
      </c>
      <c r="T24" s="63"/>
      <c r="U24" s="421"/>
    </row>
    <row r="25" spans="1:24" ht="15.75" hidden="1" thickBot="1" x14ac:dyDescent="0.3">
      <c r="A25" s="810"/>
      <c r="B25" s="870"/>
      <c r="C25" s="62" t="s">
        <v>324</v>
      </c>
      <c r="D25" s="27"/>
      <c r="E25" s="27"/>
      <c r="F25" s="27"/>
      <c r="G25" s="27"/>
      <c r="H25" s="77"/>
      <c r="I25" s="77"/>
      <c r="J25" s="27"/>
      <c r="K25" s="27"/>
      <c r="L25" s="27"/>
      <c r="M25" s="26">
        <v>1500</v>
      </c>
      <c r="N25" s="27"/>
      <c r="O25" s="27"/>
      <c r="P25" s="27"/>
      <c r="Q25" s="27"/>
      <c r="R25" s="63"/>
      <c r="S25" s="131">
        <v>0</v>
      </c>
      <c r="T25" s="63"/>
      <c r="U25" s="421"/>
    </row>
    <row r="26" spans="1:24" ht="15.75" hidden="1" thickBot="1" x14ac:dyDescent="0.3">
      <c r="A26" s="810"/>
      <c r="B26" s="870"/>
      <c r="C26" s="62" t="s">
        <v>325</v>
      </c>
      <c r="D26" s="27"/>
      <c r="E26" s="27"/>
      <c r="F26" s="27"/>
      <c r="G26" s="27"/>
      <c r="H26" s="77"/>
      <c r="I26" s="77"/>
      <c r="J26" s="27"/>
      <c r="K26" s="27"/>
      <c r="L26" s="27"/>
      <c r="M26" s="26"/>
      <c r="N26" s="27"/>
      <c r="O26" s="27"/>
      <c r="P26" s="27"/>
      <c r="Q26" s="27"/>
      <c r="R26" s="63"/>
      <c r="S26" s="131">
        <v>0</v>
      </c>
      <c r="T26" s="76"/>
      <c r="U26" s="395"/>
    </row>
    <row r="27" spans="1:24" ht="15.75" hidden="1" thickBot="1" x14ac:dyDescent="0.3">
      <c r="A27" s="810"/>
      <c r="B27" s="870"/>
      <c r="C27" s="62" t="s">
        <v>326</v>
      </c>
      <c r="D27" s="27"/>
      <c r="E27" s="27"/>
      <c r="F27" s="27"/>
      <c r="G27" s="27"/>
      <c r="H27" s="77"/>
      <c r="I27" s="77"/>
      <c r="J27" s="27"/>
      <c r="K27" s="27"/>
      <c r="L27" s="27"/>
      <c r="M27" s="26"/>
      <c r="N27" s="27"/>
      <c r="O27" s="27"/>
      <c r="P27" s="27"/>
      <c r="Q27" s="27"/>
      <c r="R27" s="63"/>
      <c r="S27" s="131">
        <v>0</v>
      </c>
      <c r="T27" s="76"/>
      <c r="U27" s="395"/>
    </row>
    <row r="28" spans="1:24" ht="15.75" hidden="1" thickBot="1" x14ac:dyDescent="0.3">
      <c r="A28" s="810"/>
      <c r="B28" s="870"/>
      <c r="C28" s="62" t="s">
        <v>323</v>
      </c>
      <c r="D28" s="27"/>
      <c r="E28" s="27"/>
      <c r="F28" s="27"/>
      <c r="G28" s="27"/>
      <c r="H28" s="77"/>
      <c r="I28" s="77"/>
      <c r="J28" s="27"/>
      <c r="K28" s="27"/>
      <c r="L28" s="27"/>
      <c r="M28" s="26"/>
      <c r="N28" s="27"/>
      <c r="O28" s="27"/>
      <c r="P28" s="27"/>
      <c r="Q28" s="27"/>
      <c r="R28" s="63"/>
      <c r="S28" s="131">
        <v>0</v>
      </c>
      <c r="T28" s="76"/>
      <c r="U28" s="395"/>
    </row>
    <row r="29" spans="1:24" ht="15.75" hidden="1" thickBot="1" x14ac:dyDescent="0.3">
      <c r="A29" s="811"/>
      <c r="B29" s="871"/>
      <c r="C29" s="186" t="s">
        <v>327</v>
      </c>
      <c r="D29" s="93"/>
      <c r="E29" s="93"/>
      <c r="F29" s="93"/>
      <c r="G29" s="93"/>
      <c r="H29" s="91"/>
      <c r="I29" s="91"/>
      <c r="J29" s="93"/>
      <c r="K29" s="93">
        <v>748471</v>
      </c>
      <c r="L29" s="93"/>
      <c r="M29" s="92">
        <v>11520</v>
      </c>
      <c r="N29" s="93"/>
      <c r="O29" s="93"/>
      <c r="P29" s="93"/>
      <c r="Q29" s="93"/>
      <c r="R29" s="76"/>
      <c r="S29" s="95">
        <v>0</v>
      </c>
      <c r="T29" s="76"/>
      <c r="U29" s="395"/>
    </row>
    <row r="30" spans="1:24" ht="15.75" thickBot="1" x14ac:dyDescent="0.3">
      <c r="A30" s="437" t="s">
        <v>163</v>
      </c>
      <c r="B30" s="760" t="s">
        <v>328</v>
      </c>
      <c r="C30" s="761"/>
      <c r="D30" s="192">
        <v>154053</v>
      </c>
      <c r="E30" s="192">
        <v>194317</v>
      </c>
      <c r="F30" s="192">
        <v>340238</v>
      </c>
      <c r="G30" s="192">
        <v>484191</v>
      </c>
      <c r="H30" s="192">
        <v>181309</v>
      </c>
      <c r="I30" s="423">
        <v>33695</v>
      </c>
      <c r="J30" s="192">
        <v>79908</v>
      </c>
      <c r="K30" s="87">
        <f>SUM(K31:K50)</f>
        <v>0</v>
      </c>
      <c r="L30" s="87">
        <f>SUM(L31:L50)</f>
        <v>75693</v>
      </c>
      <c r="M30" s="88">
        <f>SUM(M31:M46)</f>
        <v>107849.53999999998</v>
      </c>
      <c r="N30" s="87">
        <v>206988.84</v>
      </c>
      <c r="O30" s="87">
        <v>350387.76999999996</v>
      </c>
      <c r="P30" s="87">
        <v>405936.13</v>
      </c>
      <c r="Q30" s="87">
        <v>935602</v>
      </c>
      <c r="R30" s="87">
        <v>414134</v>
      </c>
      <c r="S30" s="88">
        <v>1.1819305222896337</v>
      </c>
      <c r="T30" s="87">
        <v>0</v>
      </c>
      <c r="U30" s="636">
        <v>0</v>
      </c>
    </row>
    <row r="31" spans="1:24" hidden="1" x14ac:dyDescent="0.25">
      <c r="A31" s="434"/>
      <c r="B31" s="438"/>
      <c r="C31" s="62" t="s">
        <v>329</v>
      </c>
      <c r="D31" s="27"/>
      <c r="E31" s="27"/>
      <c r="F31" s="27"/>
      <c r="G31" s="27"/>
      <c r="H31" s="77"/>
      <c r="I31" s="439"/>
      <c r="J31" s="440"/>
      <c r="K31" s="27"/>
      <c r="L31" s="49">
        <v>23757.119999999999</v>
      </c>
      <c r="M31" s="48"/>
      <c r="N31" s="49"/>
      <c r="O31" s="49"/>
      <c r="P31" s="49"/>
      <c r="Q31" s="49"/>
      <c r="R31" s="76"/>
      <c r="S31" s="95">
        <v>0</v>
      </c>
      <c r="T31" s="76"/>
      <c r="U31" s="395"/>
    </row>
    <row r="32" spans="1:24" hidden="1" x14ac:dyDescent="0.25">
      <c r="A32" s="434"/>
      <c r="B32" s="438"/>
      <c r="C32" s="62" t="s">
        <v>330</v>
      </c>
      <c r="D32" s="27"/>
      <c r="E32" s="27"/>
      <c r="F32" s="27"/>
      <c r="G32" s="27"/>
      <c r="H32" s="77"/>
      <c r="I32" s="439"/>
      <c r="J32" s="440"/>
      <c r="K32" s="27"/>
      <c r="L32" s="49"/>
      <c r="M32" s="48"/>
      <c r="N32" s="49"/>
      <c r="O32" s="49"/>
      <c r="P32" s="49"/>
      <c r="Q32" s="49"/>
      <c r="R32" s="76"/>
      <c r="S32" s="95">
        <v>0</v>
      </c>
      <c r="T32" s="76"/>
      <c r="U32" s="395"/>
      <c r="X32" s="327">
        <f>R39+R40+R48+R49+R50</f>
        <v>35000</v>
      </c>
    </row>
    <row r="33" spans="1:24" hidden="1" x14ac:dyDescent="0.25">
      <c r="A33" s="434"/>
      <c r="B33" s="438"/>
      <c r="C33" s="62" t="s">
        <v>331</v>
      </c>
      <c r="D33" s="27"/>
      <c r="E33" s="27"/>
      <c r="F33" s="27"/>
      <c r="G33" s="27"/>
      <c r="H33" s="77"/>
      <c r="I33" s="439"/>
      <c r="J33" s="440"/>
      <c r="K33" s="27"/>
      <c r="L33" s="49"/>
      <c r="M33" s="48"/>
      <c r="N33" s="49"/>
      <c r="O33" s="49"/>
      <c r="P33" s="49"/>
      <c r="Q33" s="49"/>
      <c r="R33" s="76"/>
      <c r="S33" s="95">
        <v>0</v>
      </c>
      <c r="T33" s="76"/>
      <c r="U33" s="395"/>
      <c r="W33" s="204"/>
    </row>
    <row r="34" spans="1:24" hidden="1" x14ac:dyDescent="0.25">
      <c r="A34" s="434"/>
      <c r="B34" s="438"/>
      <c r="C34" s="62" t="s">
        <v>332</v>
      </c>
      <c r="D34" s="27"/>
      <c r="E34" s="27"/>
      <c r="F34" s="27"/>
      <c r="G34" s="27"/>
      <c r="H34" s="77"/>
      <c r="I34" s="439"/>
      <c r="J34" s="440"/>
      <c r="K34" s="27"/>
      <c r="L34" s="49"/>
      <c r="M34" s="48"/>
      <c r="N34" s="49"/>
      <c r="O34" s="49"/>
      <c r="P34" s="49"/>
      <c r="Q34" s="49"/>
      <c r="R34" s="76"/>
      <c r="S34" s="95">
        <v>0</v>
      </c>
      <c r="T34" s="76"/>
      <c r="U34" s="395"/>
    </row>
    <row r="35" spans="1:24" hidden="1" x14ac:dyDescent="0.25">
      <c r="A35" s="434"/>
      <c r="B35" s="438"/>
      <c r="C35" s="62" t="s">
        <v>333</v>
      </c>
      <c r="D35" s="27"/>
      <c r="E35" s="27"/>
      <c r="F35" s="27"/>
      <c r="G35" s="27"/>
      <c r="H35" s="77"/>
      <c r="I35" s="439"/>
      <c r="J35" s="440"/>
      <c r="K35" s="27"/>
      <c r="L35" s="49"/>
      <c r="M35" s="48"/>
      <c r="N35" s="49"/>
      <c r="O35" s="49"/>
      <c r="P35" s="49"/>
      <c r="Q35" s="49"/>
      <c r="R35" s="76"/>
      <c r="S35" s="95">
        <v>0</v>
      </c>
      <c r="T35" s="76"/>
      <c r="U35" s="395"/>
      <c r="W35" s="204"/>
    </row>
    <row r="36" spans="1:24" hidden="1" x14ac:dyDescent="0.25">
      <c r="A36" s="434"/>
      <c r="B36" s="438"/>
      <c r="C36" s="62" t="s">
        <v>116</v>
      </c>
      <c r="D36" s="27"/>
      <c r="E36" s="27"/>
      <c r="F36" s="27"/>
      <c r="G36" s="27"/>
      <c r="H36" s="77"/>
      <c r="I36" s="439"/>
      <c r="J36" s="440"/>
      <c r="K36" s="27"/>
      <c r="L36" s="49"/>
      <c r="M36" s="48"/>
      <c r="N36" s="49"/>
      <c r="O36" s="49"/>
      <c r="P36" s="49"/>
      <c r="Q36" s="49"/>
      <c r="R36" s="76"/>
      <c r="S36" s="95">
        <v>0</v>
      </c>
      <c r="T36" s="76"/>
      <c r="U36" s="395"/>
    </row>
    <row r="37" spans="1:24" x14ac:dyDescent="0.25">
      <c r="A37" s="810"/>
      <c r="B37" s="865"/>
      <c r="C37" s="62" t="s">
        <v>334</v>
      </c>
      <c r="D37" s="27"/>
      <c r="E37" s="27"/>
      <c r="F37" s="27"/>
      <c r="G37" s="27"/>
      <c r="H37" s="77"/>
      <c r="I37" s="439"/>
      <c r="J37" s="440"/>
      <c r="K37" s="27"/>
      <c r="L37" s="49"/>
      <c r="M37" s="48"/>
      <c r="N37" s="49"/>
      <c r="O37" s="49"/>
      <c r="P37" s="49"/>
      <c r="Q37" s="49"/>
      <c r="R37" s="76">
        <v>341934</v>
      </c>
      <c r="S37" s="95">
        <v>0</v>
      </c>
      <c r="T37" s="76"/>
      <c r="U37" s="395"/>
    </row>
    <row r="38" spans="1:24" x14ac:dyDescent="0.25">
      <c r="A38" s="810"/>
      <c r="B38" s="865"/>
      <c r="C38" s="62" t="s">
        <v>335</v>
      </c>
      <c r="D38" s="27"/>
      <c r="E38" s="27"/>
      <c r="F38" s="27"/>
      <c r="G38" s="27"/>
      <c r="H38" s="77"/>
      <c r="I38" s="439"/>
      <c r="J38" s="440"/>
      <c r="K38" s="27"/>
      <c r="L38" s="49"/>
      <c r="M38" s="48"/>
      <c r="N38" s="49"/>
      <c r="O38" s="49"/>
      <c r="P38" s="49"/>
      <c r="Q38" s="49"/>
      <c r="R38" s="76">
        <v>37200</v>
      </c>
      <c r="S38" s="95">
        <v>0</v>
      </c>
      <c r="T38" s="76"/>
      <c r="U38" s="395"/>
    </row>
    <row r="39" spans="1:24" ht="12.75" hidden="1" customHeight="1" x14ac:dyDescent="0.25">
      <c r="A39" s="810"/>
      <c r="B39" s="865"/>
      <c r="C39" s="62" t="s">
        <v>336</v>
      </c>
      <c r="D39" s="27"/>
      <c r="E39" s="27"/>
      <c r="F39" s="27"/>
      <c r="G39" s="27"/>
      <c r="H39" s="77"/>
      <c r="I39" s="439"/>
      <c r="J39" s="440"/>
      <c r="K39" s="27"/>
      <c r="L39" s="49"/>
      <c r="M39" s="48"/>
      <c r="N39" s="49"/>
      <c r="O39" s="49"/>
      <c r="P39" s="49"/>
      <c r="Q39" s="49"/>
      <c r="R39" s="76"/>
      <c r="S39" s="95">
        <v>0</v>
      </c>
      <c r="T39" s="76"/>
      <c r="U39" s="395"/>
      <c r="X39" s="327">
        <f>R32+R40+R48+R49+R50</f>
        <v>35000</v>
      </c>
    </row>
    <row r="40" spans="1:24" ht="12.75" hidden="1" customHeight="1" x14ac:dyDescent="0.25">
      <c r="A40" s="810"/>
      <c r="B40" s="865"/>
      <c r="C40" s="62" t="s">
        <v>337</v>
      </c>
      <c r="D40" s="27"/>
      <c r="E40" s="27"/>
      <c r="F40" s="27"/>
      <c r="G40" s="27"/>
      <c r="H40" s="77"/>
      <c r="I40" s="439"/>
      <c r="J40" s="440"/>
      <c r="K40" s="27"/>
      <c r="L40" s="49">
        <v>29104.44</v>
      </c>
      <c r="M40" s="48"/>
      <c r="N40" s="49"/>
      <c r="O40" s="49"/>
      <c r="P40" s="49"/>
      <c r="Q40" s="49"/>
      <c r="R40" s="76"/>
      <c r="S40" s="95">
        <v>0</v>
      </c>
      <c r="T40" s="76"/>
      <c r="U40" s="395"/>
    </row>
    <row r="41" spans="1:24" ht="12.75" hidden="1" customHeight="1" x14ac:dyDescent="0.25">
      <c r="A41" s="810"/>
      <c r="B41" s="865"/>
      <c r="C41" s="62" t="s">
        <v>338</v>
      </c>
      <c r="D41" s="27"/>
      <c r="E41" s="27"/>
      <c r="F41" s="27"/>
      <c r="G41" s="27"/>
      <c r="H41" s="77"/>
      <c r="I41" s="439"/>
      <c r="J41" s="440"/>
      <c r="K41" s="27"/>
      <c r="L41" s="49"/>
      <c r="M41" s="48">
        <v>35969.53</v>
      </c>
      <c r="N41" s="49"/>
      <c r="O41" s="49"/>
      <c r="P41" s="49"/>
      <c r="Q41" s="49"/>
      <c r="R41" s="76"/>
      <c r="S41" s="95">
        <v>0</v>
      </c>
      <c r="T41" s="76"/>
      <c r="U41" s="395"/>
    </row>
    <row r="42" spans="1:24" ht="12.75" hidden="1" customHeight="1" x14ac:dyDescent="0.25">
      <c r="A42" s="810"/>
      <c r="B42" s="865"/>
      <c r="C42" s="62" t="s">
        <v>339</v>
      </c>
      <c r="D42" s="52"/>
      <c r="E42" s="52"/>
      <c r="F42" s="52"/>
      <c r="G42" s="52"/>
      <c r="H42" s="86"/>
      <c r="I42" s="441"/>
      <c r="J42" s="442"/>
      <c r="K42" s="52"/>
      <c r="L42" s="52"/>
      <c r="M42" s="48">
        <v>2200</v>
      </c>
      <c r="N42" s="49"/>
      <c r="O42" s="49"/>
      <c r="P42" s="49"/>
      <c r="Q42" s="49"/>
      <c r="R42" s="76"/>
      <c r="S42" s="95">
        <v>0</v>
      </c>
      <c r="T42" s="76"/>
      <c r="U42" s="395"/>
    </row>
    <row r="43" spans="1:24" ht="12.75" hidden="1" customHeight="1" x14ac:dyDescent="0.25">
      <c r="A43" s="810"/>
      <c r="B43" s="865"/>
      <c r="C43" s="62" t="s">
        <v>340</v>
      </c>
      <c r="D43" s="52"/>
      <c r="E43" s="52"/>
      <c r="F43" s="52"/>
      <c r="G43" s="52"/>
      <c r="H43" s="86"/>
      <c r="I43" s="441"/>
      <c r="J43" s="442"/>
      <c r="K43" s="52"/>
      <c r="L43" s="52"/>
      <c r="M43" s="48">
        <v>28928.71</v>
      </c>
      <c r="N43" s="49"/>
      <c r="O43" s="49"/>
      <c r="P43" s="49"/>
      <c r="Q43" s="49"/>
      <c r="R43" s="76"/>
      <c r="S43" s="95">
        <v>0</v>
      </c>
      <c r="T43" s="76"/>
      <c r="U43" s="395"/>
    </row>
    <row r="44" spans="1:24" ht="12.75" hidden="1" customHeight="1" x14ac:dyDescent="0.25">
      <c r="A44" s="810"/>
      <c r="B44" s="865"/>
      <c r="C44" s="62" t="s">
        <v>341</v>
      </c>
      <c r="D44" s="52"/>
      <c r="E44" s="52"/>
      <c r="F44" s="52"/>
      <c r="G44" s="52"/>
      <c r="H44" s="86"/>
      <c r="I44" s="441"/>
      <c r="J44" s="442"/>
      <c r="K44" s="52"/>
      <c r="L44" s="52"/>
      <c r="M44" s="26">
        <v>19756.98</v>
      </c>
      <c r="N44" s="49"/>
      <c r="O44" s="49"/>
      <c r="P44" s="49"/>
      <c r="Q44" s="49"/>
      <c r="R44" s="76"/>
      <c r="S44" s="95">
        <v>0</v>
      </c>
      <c r="T44" s="76"/>
      <c r="U44" s="395"/>
    </row>
    <row r="45" spans="1:24" ht="12.75" hidden="1" customHeight="1" x14ac:dyDescent="0.25">
      <c r="A45" s="810"/>
      <c r="B45" s="865"/>
      <c r="C45" s="62" t="s">
        <v>342</v>
      </c>
      <c r="D45" s="52"/>
      <c r="E45" s="52"/>
      <c r="F45" s="52"/>
      <c r="G45" s="52"/>
      <c r="H45" s="86"/>
      <c r="I45" s="441"/>
      <c r="J45" s="442"/>
      <c r="K45" s="52"/>
      <c r="L45" s="52"/>
      <c r="M45" s="26">
        <v>20994.32</v>
      </c>
      <c r="N45" s="49"/>
      <c r="O45" s="49"/>
      <c r="P45" s="49"/>
      <c r="Q45" s="49"/>
      <c r="R45" s="76"/>
      <c r="S45" s="95">
        <v>0</v>
      </c>
      <c r="T45" s="76"/>
      <c r="U45" s="395"/>
    </row>
    <row r="46" spans="1:24" ht="12.75" hidden="1" customHeight="1" x14ac:dyDescent="0.25">
      <c r="A46" s="810"/>
      <c r="B46" s="865"/>
      <c r="C46" s="62" t="s">
        <v>343</v>
      </c>
      <c r="D46" s="52"/>
      <c r="E46" s="52"/>
      <c r="F46" s="52"/>
      <c r="G46" s="52"/>
      <c r="H46" s="86"/>
      <c r="I46" s="441"/>
      <c r="J46" s="442"/>
      <c r="K46" s="52"/>
      <c r="L46" s="52">
        <v>22831.440000000002</v>
      </c>
      <c r="M46" s="27">
        <v>0</v>
      </c>
      <c r="N46" s="49"/>
      <c r="O46" s="49"/>
      <c r="P46" s="49"/>
      <c r="Q46" s="49"/>
      <c r="R46" s="76"/>
      <c r="S46" s="95">
        <v>0</v>
      </c>
      <c r="T46" s="76"/>
      <c r="U46" s="395"/>
    </row>
    <row r="47" spans="1:24" ht="12.75" hidden="1" customHeight="1" x14ac:dyDescent="0.25">
      <c r="A47" s="810"/>
      <c r="B47" s="865"/>
      <c r="C47" s="62" t="s">
        <v>344</v>
      </c>
      <c r="D47" s="52"/>
      <c r="E47" s="52"/>
      <c r="F47" s="52"/>
      <c r="G47" s="52"/>
      <c r="H47" s="86"/>
      <c r="I47" s="441"/>
      <c r="J47" s="442"/>
      <c r="K47" s="52"/>
      <c r="L47" s="52"/>
      <c r="M47" s="27"/>
      <c r="N47" s="49"/>
      <c r="O47" s="49"/>
      <c r="P47" s="49"/>
      <c r="Q47" s="49"/>
      <c r="R47" s="76"/>
      <c r="S47" s="95">
        <v>0</v>
      </c>
      <c r="T47" s="76"/>
      <c r="U47" s="395"/>
    </row>
    <row r="48" spans="1:24" ht="12.75" hidden="1" customHeight="1" x14ac:dyDescent="0.25">
      <c r="A48" s="810"/>
      <c r="B48" s="865"/>
      <c r="C48" s="62" t="s">
        <v>345</v>
      </c>
      <c r="D48" s="52"/>
      <c r="E48" s="52"/>
      <c r="F48" s="52"/>
      <c r="G48" s="52"/>
      <c r="H48" s="86"/>
      <c r="I48" s="441"/>
      <c r="J48" s="442"/>
      <c r="K48" s="52"/>
      <c r="L48" s="52"/>
      <c r="M48" s="52"/>
      <c r="N48" s="27"/>
      <c r="O48" s="63"/>
      <c r="P48" s="76"/>
      <c r="Q48" s="76"/>
      <c r="R48" s="76"/>
      <c r="S48" s="95">
        <v>0</v>
      </c>
      <c r="T48" s="76"/>
      <c r="U48" s="395"/>
    </row>
    <row r="49" spans="1:23" ht="15.75" thickBot="1" x14ac:dyDescent="0.3">
      <c r="A49" s="810"/>
      <c r="B49" s="865"/>
      <c r="C49" s="62" t="s">
        <v>346</v>
      </c>
      <c r="D49" s="52"/>
      <c r="E49" s="52"/>
      <c r="F49" s="52"/>
      <c r="G49" s="52"/>
      <c r="H49" s="86"/>
      <c r="I49" s="441"/>
      <c r="J49" s="442"/>
      <c r="K49" s="52"/>
      <c r="L49" s="52"/>
      <c r="M49" s="52"/>
      <c r="N49" s="27"/>
      <c r="O49" s="63"/>
      <c r="P49" s="76"/>
      <c r="Q49" s="76"/>
      <c r="R49" s="76">
        <v>35000</v>
      </c>
      <c r="S49" s="95">
        <v>0</v>
      </c>
      <c r="T49" s="76"/>
      <c r="U49" s="395"/>
    </row>
    <row r="50" spans="1:23" ht="15.75" hidden="1" thickBot="1" x14ac:dyDescent="0.3">
      <c r="A50" s="434"/>
      <c r="B50" s="438"/>
      <c r="C50" s="62"/>
      <c r="D50" s="52"/>
      <c r="E50" s="52"/>
      <c r="F50" s="52"/>
      <c r="G50" s="52"/>
      <c r="H50" s="86"/>
      <c r="I50" s="441"/>
      <c r="J50" s="442"/>
      <c r="K50" s="52"/>
      <c r="L50" s="52"/>
      <c r="M50" s="33"/>
      <c r="N50" s="33"/>
      <c r="O50" s="79"/>
      <c r="P50" s="203"/>
      <c r="Q50" s="203"/>
      <c r="R50" s="76"/>
      <c r="S50" s="95">
        <v>0</v>
      </c>
      <c r="T50" s="76"/>
      <c r="U50" s="395"/>
    </row>
    <row r="51" spans="1:23" ht="15.75" thickBot="1" x14ac:dyDescent="0.3">
      <c r="A51" s="443" t="s">
        <v>185</v>
      </c>
      <c r="B51" s="760" t="s">
        <v>347</v>
      </c>
      <c r="C51" s="761"/>
      <c r="D51" s="444">
        <v>80894</v>
      </c>
      <c r="E51" s="192">
        <v>8298</v>
      </c>
      <c r="F51" s="192">
        <v>71666</v>
      </c>
      <c r="G51" s="192">
        <v>1330064</v>
      </c>
      <c r="H51" s="192">
        <v>2147096</v>
      </c>
      <c r="I51" s="423">
        <v>8121</v>
      </c>
      <c r="J51" s="192">
        <v>93729</v>
      </c>
      <c r="K51" s="87">
        <f t="shared" ref="K51:U51" si="0">SUM(K52:K57)</f>
        <v>28919</v>
      </c>
      <c r="L51" s="87">
        <f t="shared" si="0"/>
        <v>0</v>
      </c>
      <c r="M51" s="88">
        <f t="shared" si="0"/>
        <v>69453.41</v>
      </c>
      <c r="N51" s="87">
        <v>5501</v>
      </c>
      <c r="O51" s="87">
        <v>396374.4</v>
      </c>
      <c r="P51" s="87">
        <v>215644.72</v>
      </c>
      <c r="Q51" s="87">
        <v>36876</v>
      </c>
      <c r="R51" s="87">
        <v>0</v>
      </c>
      <c r="S51" s="88">
        <v>0</v>
      </c>
      <c r="T51" s="87">
        <v>0</v>
      </c>
      <c r="U51" s="636">
        <v>0</v>
      </c>
    </row>
    <row r="52" spans="1:23" ht="15.75" thickBot="1" x14ac:dyDescent="0.3">
      <c r="A52" s="445"/>
      <c r="B52" s="446"/>
      <c r="C52" s="60"/>
      <c r="D52" s="21"/>
      <c r="E52" s="21"/>
      <c r="F52" s="21"/>
      <c r="G52" s="21"/>
      <c r="H52" s="74"/>
      <c r="I52" s="447"/>
      <c r="J52" s="448"/>
      <c r="K52" s="21">
        <v>28919</v>
      </c>
      <c r="L52" s="49"/>
      <c r="M52" s="48"/>
      <c r="N52" s="49"/>
      <c r="O52" s="49"/>
      <c r="P52" s="49"/>
      <c r="Q52" s="49"/>
      <c r="R52" s="76"/>
      <c r="S52" s="95">
        <v>0</v>
      </c>
      <c r="T52" s="76"/>
      <c r="U52" s="395"/>
    </row>
    <row r="53" spans="1:23" ht="15.75" hidden="1" thickBot="1" x14ac:dyDescent="0.3">
      <c r="A53" s="434"/>
      <c r="B53" s="438"/>
      <c r="C53" s="94" t="s">
        <v>348</v>
      </c>
      <c r="D53" s="49"/>
      <c r="E53" s="49"/>
      <c r="F53" s="49"/>
      <c r="G53" s="49"/>
      <c r="H53" s="75"/>
      <c r="I53" s="449"/>
      <c r="J53" s="450"/>
      <c r="K53" s="49"/>
      <c r="L53" s="49"/>
      <c r="M53" s="48">
        <v>69453.41</v>
      </c>
      <c r="N53" s="49"/>
      <c r="O53" s="49"/>
      <c r="P53" s="49"/>
      <c r="Q53" s="49"/>
      <c r="R53" s="76"/>
      <c r="S53" s="95">
        <v>0</v>
      </c>
      <c r="T53" s="76"/>
      <c r="U53" s="395"/>
    </row>
    <row r="54" spans="1:23" ht="15.75" hidden="1" thickBot="1" x14ac:dyDescent="0.3">
      <c r="A54" s="434"/>
      <c r="B54" s="438"/>
      <c r="C54" s="62" t="s">
        <v>102</v>
      </c>
      <c r="D54" s="49"/>
      <c r="E54" s="49"/>
      <c r="F54" s="49"/>
      <c r="G54" s="49"/>
      <c r="H54" s="75"/>
      <c r="I54" s="449"/>
      <c r="J54" s="450"/>
      <c r="K54" s="49"/>
      <c r="L54" s="49"/>
      <c r="M54" s="49"/>
      <c r="N54" s="49"/>
      <c r="O54" s="49"/>
      <c r="P54" s="49"/>
      <c r="Q54" s="49"/>
      <c r="R54" s="76"/>
      <c r="S54" s="95">
        <v>0</v>
      </c>
      <c r="T54" s="76"/>
      <c r="U54" s="395"/>
      <c r="W54" t="s">
        <v>349</v>
      </c>
    </row>
    <row r="55" spans="1:23" ht="15.75" hidden="1" thickBot="1" x14ac:dyDescent="0.3">
      <c r="A55" s="434"/>
      <c r="B55" s="438"/>
      <c r="C55" s="62" t="s">
        <v>350</v>
      </c>
      <c r="D55" s="27"/>
      <c r="E55" s="27"/>
      <c r="F55" s="27"/>
      <c r="G55" s="27"/>
      <c r="H55" s="77"/>
      <c r="I55" s="439"/>
      <c r="J55" s="440"/>
      <c r="K55" s="27"/>
      <c r="L55" s="27"/>
      <c r="M55" s="27"/>
      <c r="N55" s="27"/>
      <c r="O55" s="27"/>
      <c r="P55" s="27"/>
      <c r="Q55" s="27"/>
      <c r="R55" s="63"/>
      <c r="S55" s="131">
        <v>0</v>
      </c>
      <c r="T55" s="63"/>
      <c r="U55" s="421"/>
    </row>
    <row r="56" spans="1:23" ht="15.75" hidden="1" thickBot="1" x14ac:dyDescent="0.3">
      <c r="A56" s="434"/>
      <c r="B56" s="438"/>
      <c r="C56" s="62" t="s">
        <v>351</v>
      </c>
      <c r="D56" s="27"/>
      <c r="E56" s="27"/>
      <c r="F56" s="27"/>
      <c r="G56" s="27"/>
      <c r="H56" s="77"/>
      <c r="I56" s="439"/>
      <c r="J56" s="440"/>
      <c r="K56" s="27"/>
      <c r="L56" s="27"/>
      <c r="M56" s="27"/>
      <c r="N56" s="27"/>
      <c r="O56" s="27"/>
      <c r="P56" s="27"/>
      <c r="Q56" s="27"/>
      <c r="R56" s="63"/>
      <c r="S56" s="131">
        <v>0</v>
      </c>
      <c r="T56" s="63"/>
      <c r="U56" s="421"/>
    </row>
    <row r="57" spans="1:23" ht="15.75" hidden="1" thickBot="1" x14ac:dyDescent="0.3">
      <c r="A57" s="451"/>
      <c r="B57" s="452"/>
      <c r="C57" s="94" t="s">
        <v>352</v>
      </c>
      <c r="D57" s="93"/>
      <c r="E57" s="93"/>
      <c r="F57" s="93"/>
      <c r="G57" s="93"/>
      <c r="H57" s="91"/>
      <c r="I57" s="453"/>
      <c r="J57" s="454"/>
      <c r="K57" s="100"/>
      <c r="L57" s="93"/>
      <c r="M57" s="93"/>
      <c r="N57" s="93"/>
      <c r="O57" s="93"/>
      <c r="P57" s="93"/>
      <c r="Q57" s="93"/>
      <c r="R57" s="203"/>
      <c r="S57" s="301">
        <v>0</v>
      </c>
      <c r="T57" s="203"/>
      <c r="U57" s="637"/>
    </row>
    <row r="58" spans="1:23" ht="15.75" hidden="1" thickBot="1" x14ac:dyDescent="0.3">
      <c r="A58" s="455" t="s">
        <v>198</v>
      </c>
      <c r="B58" s="862" t="s">
        <v>353</v>
      </c>
      <c r="C58" s="862"/>
      <c r="D58" s="456"/>
      <c r="E58" s="456"/>
      <c r="F58" s="456"/>
      <c r="G58" s="456"/>
      <c r="H58" s="457">
        <v>182399</v>
      </c>
      <c r="I58" s="457"/>
      <c r="J58" s="458"/>
      <c r="K58" s="89"/>
      <c r="L58" s="89"/>
      <c r="M58" s="89"/>
      <c r="N58" s="89"/>
      <c r="O58" s="89"/>
      <c r="P58" s="89"/>
      <c r="Q58" s="89"/>
      <c r="R58" s="87"/>
      <c r="S58" s="88">
        <v>0</v>
      </c>
      <c r="T58" s="87"/>
      <c r="U58" s="636"/>
    </row>
    <row r="59" spans="1:23" ht="15.75" hidden="1" thickBot="1" x14ac:dyDescent="0.3">
      <c r="A59" s="434"/>
      <c r="B59" s="438"/>
      <c r="C59" s="91"/>
      <c r="D59" s="93"/>
      <c r="E59" s="93"/>
      <c r="F59" s="93"/>
      <c r="G59" s="93"/>
      <c r="H59" s="91"/>
      <c r="I59" s="453"/>
      <c r="J59" s="454"/>
      <c r="K59" s="93"/>
      <c r="L59" s="93"/>
      <c r="M59" s="93"/>
      <c r="N59" s="93"/>
      <c r="O59" s="93"/>
      <c r="P59" s="93"/>
      <c r="Q59" s="93"/>
      <c r="R59" s="203"/>
      <c r="S59" s="301">
        <v>0</v>
      </c>
      <c r="T59" s="203"/>
      <c r="U59" s="637"/>
    </row>
    <row r="60" spans="1:23" ht="15.75" thickBot="1" x14ac:dyDescent="0.3">
      <c r="A60" s="163" t="s">
        <v>200</v>
      </c>
      <c r="B60" s="760" t="s">
        <v>201</v>
      </c>
      <c r="C60" s="761"/>
      <c r="D60" s="164">
        <v>0</v>
      </c>
      <c r="E60" s="164">
        <v>0</v>
      </c>
      <c r="F60" s="164">
        <v>6639</v>
      </c>
      <c r="G60" s="164">
        <v>113606</v>
      </c>
      <c r="H60" s="164">
        <v>254005</v>
      </c>
      <c r="I60" s="260">
        <v>2699311</v>
      </c>
      <c r="J60" s="164">
        <v>3603230</v>
      </c>
      <c r="K60" s="87">
        <f>SUM(K67:K67)</f>
        <v>1781346</v>
      </c>
      <c r="L60" s="87">
        <f t="shared" ref="L60:M60" si="1">SUM(L61:L67)</f>
        <v>11891.04</v>
      </c>
      <c r="M60" s="88">
        <f t="shared" si="1"/>
        <v>1099.52</v>
      </c>
      <c r="N60" s="87">
        <v>9688.17</v>
      </c>
      <c r="O60" s="87">
        <v>125008.29000000001</v>
      </c>
      <c r="P60" s="87">
        <v>30038.799999999999</v>
      </c>
      <c r="Q60" s="87">
        <v>15000</v>
      </c>
      <c r="R60" s="87">
        <v>0</v>
      </c>
      <c r="S60" s="88">
        <v>0</v>
      </c>
      <c r="T60" s="87">
        <v>0</v>
      </c>
      <c r="U60" s="636">
        <v>0</v>
      </c>
    </row>
    <row r="61" spans="1:23" ht="15.75" thickBot="1" x14ac:dyDescent="0.3">
      <c r="A61" s="812"/>
      <c r="B61" s="872"/>
      <c r="C61" s="459"/>
      <c r="D61" s="460"/>
      <c r="E61" s="460"/>
      <c r="F61" s="460"/>
      <c r="G61" s="460"/>
      <c r="H61" s="459"/>
      <c r="I61" s="461"/>
      <c r="J61" s="462"/>
      <c r="K61" s="303"/>
      <c r="L61" s="18">
        <v>11891.04</v>
      </c>
      <c r="M61" s="170">
        <v>1099.52</v>
      </c>
      <c r="N61" s="170"/>
      <c r="O61" s="170"/>
      <c r="P61" s="170"/>
      <c r="Q61" s="170"/>
      <c r="R61" s="18"/>
      <c r="S61" s="170">
        <v>0</v>
      </c>
      <c r="T61" s="695"/>
      <c r="U61" s="696"/>
    </row>
    <row r="62" spans="1:23" ht="15.75" hidden="1" thickBot="1" x14ac:dyDescent="0.3">
      <c r="A62" s="813"/>
      <c r="B62" s="873"/>
      <c r="C62" s="463" t="s">
        <v>354</v>
      </c>
      <c r="D62" s="464"/>
      <c r="E62" s="464"/>
      <c r="F62" s="464"/>
      <c r="G62" s="464"/>
      <c r="H62" s="463"/>
      <c r="I62" s="465"/>
      <c r="J62" s="466"/>
      <c r="K62" s="306"/>
      <c r="L62" s="116"/>
      <c r="M62" s="252"/>
      <c r="N62" s="252"/>
      <c r="O62" s="116"/>
      <c r="P62" s="116"/>
      <c r="Q62" s="116"/>
      <c r="R62" s="116"/>
      <c r="S62" s="252">
        <v>0</v>
      </c>
      <c r="T62" s="467"/>
      <c r="U62" s="697"/>
    </row>
    <row r="63" spans="1:23" ht="15.75" hidden="1" thickBot="1" x14ac:dyDescent="0.3">
      <c r="A63" s="813"/>
      <c r="B63" s="873"/>
      <c r="C63" s="463" t="s">
        <v>355</v>
      </c>
      <c r="D63" s="464"/>
      <c r="E63" s="464"/>
      <c r="F63" s="464"/>
      <c r="G63" s="464"/>
      <c r="H63" s="463"/>
      <c r="I63" s="465"/>
      <c r="J63" s="466"/>
      <c r="K63" s="306"/>
      <c r="L63" s="306"/>
      <c r="M63" s="468"/>
      <c r="N63" s="116"/>
      <c r="O63" s="468"/>
      <c r="P63" s="468"/>
      <c r="Q63" s="468"/>
      <c r="R63" s="468"/>
      <c r="S63" s="469">
        <v>0</v>
      </c>
      <c r="T63" s="468"/>
      <c r="U63" s="698"/>
    </row>
    <row r="64" spans="1:23" ht="15.75" hidden="1" thickBot="1" x14ac:dyDescent="0.3">
      <c r="A64" s="813"/>
      <c r="B64" s="873"/>
      <c r="C64" s="463" t="s">
        <v>356</v>
      </c>
      <c r="D64" s="464"/>
      <c r="E64" s="464"/>
      <c r="F64" s="464"/>
      <c r="G64" s="464"/>
      <c r="H64" s="463"/>
      <c r="I64" s="465"/>
      <c r="J64" s="466"/>
      <c r="K64" s="306"/>
      <c r="L64" s="306"/>
      <c r="M64" s="306"/>
      <c r="N64" s="467"/>
      <c r="O64" s="116"/>
      <c r="P64" s="116"/>
      <c r="Q64" s="116"/>
      <c r="R64" s="116"/>
      <c r="S64" s="252">
        <v>0</v>
      </c>
      <c r="T64" s="467"/>
      <c r="U64" s="697"/>
    </row>
    <row r="65" spans="1:21" ht="15.75" hidden="1" thickBot="1" x14ac:dyDescent="0.3">
      <c r="A65" s="813"/>
      <c r="B65" s="873"/>
      <c r="C65" s="470" t="s">
        <v>205</v>
      </c>
      <c r="D65" s="471"/>
      <c r="E65" s="471"/>
      <c r="F65" s="471"/>
      <c r="G65" s="471"/>
      <c r="H65" s="470"/>
      <c r="I65" s="472"/>
      <c r="J65" s="473"/>
      <c r="K65" s="474"/>
      <c r="L65" s="474"/>
      <c r="M65" s="474"/>
      <c r="N65" s="474"/>
      <c r="O65" s="474"/>
      <c r="P65" s="474"/>
      <c r="Q65" s="474"/>
      <c r="R65" s="475"/>
      <c r="S65" s="175">
        <v>0</v>
      </c>
      <c r="T65" s="474"/>
      <c r="U65" s="699"/>
    </row>
    <row r="66" spans="1:21" ht="15.75" hidden="1" thickBot="1" x14ac:dyDescent="0.3">
      <c r="A66" s="813"/>
      <c r="B66" s="873"/>
      <c r="C66" s="470" t="s">
        <v>206</v>
      </c>
      <c r="D66" s="471"/>
      <c r="E66" s="471"/>
      <c r="F66" s="471"/>
      <c r="G66" s="471"/>
      <c r="H66" s="470"/>
      <c r="I66" s="472"/>
      <c r="J66" s="473"/>
      <c r="K66" s="474"/>
      <c r="L66" s="474"/>
      <c r="M66" s="474"/>
      <c r="N66" s="474"/>
      <c r="O66" s="474"/>
      <c r="P66" s="474"/>
      <c r="Q66" s="474"/>
      <c r="R66" s="475"/>
      <c r="S66" s="175">
        <v>0</v>
      </c>
      <c r="T66" s="474"/>
      <c r="U66" s="699"/>
    </row>
    <row r="67" spans="1:21" ht="15.75" hidden="1" thickBot="1" x14ac:dyDescent="0.3">
      <c r="A67" s="814"/>
      <c r="B67" s="874"/>
      <c r="C67" s="64" t="s">
        <v>357</v>
      </c>
      <c r="D67" s="33"/>
      <c r="E67" s="33"/>
      <c r="F67" s="33"/>
      <c r="G67" s="33"/>
      <c r="H67" s="78"/>
      <c r="I67" s="476"/>
      <c r="J67" s="477"/>
      <c r="K67" s="33">
        <v>1781346</v>
      </c>
      <c r="L67" s="100"/>
      <c r="M67" s="100"/>
      <c r="N67" s="100"/>
      <c r="O67" s="100"/>
      <c r="P67" s="100"/>
      <c r="Q67" s="100"/>
      <c r="R67" s="159"/>
      <c r="S67" s="350">
        <v>0</v>
      </c>
      <c r="T67" s="159"/>
      <c r="U67" s="700"/>
    </row>
    <row r="68" spans="1:21" ht="15.75" thickBot="1" x14ac:dyDescent="0.3">
      <c r="A68" s="437" t="s">
        <v>220</v>
      </c>
      <c r="B68" s="862" t="s">
        <v>221</v>
      </c>
      <c r="C68" s="862"/>
      <c r="D68" s="192">
        <v>38040</v>
      </c>
      <c r="E68" s="192">
        <v>144792</v>
      </c>
      <c r="F68" s="192">
        <v>36414</v>
      </c>
      <c r="G68" s="192">
        <v>3228</v>
      </c>
      <c r="H68" s="192">
        <v>15058</v>
      </c>
      <c r="I68" s="457"/>
      <c r="J68" s="458"/>
      <c r="K68" s="89">
        <f>SUM(K69:K71)</f>
        <v>5000</v>
      </c>
      <c r="L68" s="89">
        <f>SUM(L69:L71)</f>
        <v>35480.800000000003</v>
      </c>
      <c r="M68" s="125">
        <f>SUM(M69:M71)</f>
        <v>555131.6</v>
      </c>
      <c r="N68" s="89">
        <v>10197.6</v>
      </c>
      <c r="O68" s="89">
        <v>323.60000000000002</v>
      </c>
      <c r="P68" s="89">
        <v>16171.269999999999</v>
      </c>
      <c r="Q68" s="89">
        <v>64500</v>
      </c>
      <c r="R68" s="87">
        <v>167000</v>
      </c>
      <c r="S68" s="88">
        <v>516.06922126081577</v>
      </c>
      <c r="T68" s="87"/>
      <c r="U68" s="636"/>
    </row>
    <row r="69" spans="1:21" ht="15.75" thickBot="1" x14ac:dyDescent="0.3">
      <c r="A69" s="812"/>
      <c r="B69" s="867"/>
      <c r="C69" s="60" t="s">
        <v>358</v>
      </c>
      <c r="D69" s="21"/>
      <c r="E69" s="21"/>
      <c r="F69" s="21"/>
      <c r="G69" s="21"/>
      <c r="H69" s="74"/>
      <c r="I69" s="447"/>
      <c r="J69" s="448"/>
      <c r="K69" s="478">
        <v>5000</v>
      </c>
      <c r="L69" s="478">
        <v>20503.12</v>
      </c>
      <c r="M69" s="479"/>
      <c r="N69" s="478"/>
      <c r="O69" s="478"/>
      <c r="P69" s="478"/>
      <c r="Q69" s="478"/>
      <c r="R69" s="61">
        <v>167000</v>
      </c>
      <c r="S69" s="480">
        <v>0</v>
      </c>
      <c r="T69" s="701"/>
      <c r="U69" s="702"/>
    </row>
    <row r="70" spans="1:21" ht="15.75" hidden="1" thickBot="1" x14ac:dyDescent="0.3">
      <c r="A70" s="813"/>
      <c r="B70" s="868"/>
      <c r="C70" s="94"/>
      <c r="D70" s="93"/>
      <c r="E70" s="93"/>
      <c r="F70" s="93"/>
      <c r="G70" s="93"/>
      <c r="H70" s="91"/>
      <c r="I70" s="453"/>
      <c r="J70" s="454"/>
      <c r="K70" s="481"/>
      <c r="L70" s="482"/>
      <c r="M70" s="483">
        <v>555131.6</v>
      </c>
      <c r="N70" s="482"/>
      <c r="O70" s="482"/>
      <c r="P70" s="482"/>
      <c r="Q70" s="482"/>
      <c r="R70" s="484"/>
      <c r="S70" s="485">
        <v>0</v>
      </c>
      <c r="T70" s="484"/>
      <c r="U70" s="703"/>
    </row>
    <row r="71" spans="1:21" ht="15.75" hidden="1" thickBot="1" x14ac:dyDescent="0.3">
      <c r="A71" s="814"/>
      <c r="B71" s="869"/>
      <c r="C71" s="62"/>
      <c r="D71" s="93"/>
      <c r="E71" s="93"/>
      <c r="F71" s="93"/>
      <c r="G71" s="93"/>
      <c r="H71" s="91"/>
      <c r="I71" s="453"/>
      <c r="J71" s="454"/>
      <c r="K71" s="93"/>
      <c r="L71" s="93">
        <v>14977.68</v>
      </c>
      <c r="M71" s="92"/>
      <c r="N71" s="93"/>
      <c r="O71" s="93"/>
      <c r="P71" s="93"/>
      <c r="Q71" s="93"/>
      <c r="R71" s="203"/>
      <c r="S71" s="301">
        <v>0</v>
      </c>
      <c r="T71" s="203"/>
      <c r="U71" s="637"/>
    </row>
    <row r="72" spans="1:21" ht="15.75" thickBot="1" x14ac:dyDescent="0.3">
      <c r="A72" s="437" t="s">
        <v>224</v>
      </c>
      <c r="B72" s="862" t="s">
        <v>225</v>
      </c>
      <c r="C72" s="862"/>
      <c r="D72" s="192">
        <v>326960</v>
      </c>
      <c r="E72" s="192">
        <v>144858</v>
      </c>
      <c r="F72" s="192">
        <v>123880</v>
      </c>
      <c r="G72" s="192">
        <v>20761</v>
      </c>
      <c r="H72" s="192">
        <v>158221</v>
      </c>
      <c r="I72" s="423">
        <v>92051</v>
      </c>
      <c r="J72" s="192">
        <v>68225</v>
      </c>
      <c r="K72" s="87">
        <f>SUM(K73:K94)</f>
        <v>16198</v>
      </c>
      <c r="L72" s="87">
        <f>SUM(L73:L94)</f>
        <v>1305435.6399999999</v>
      </c>
      <c r="M72" s="88">
        <f>SUM(M73:M94)</f>
        <v>139207.66</v>
      </c>
      <c r="N72" s="87">
        <v>44614.21</v>
      </c>
      <c r="O72" s="88">
        <v>60675.760000000009</v>
      </c>
      <c r="P72" s="88">
        <v>54775.5</v>
      </c>
      <c r="Q72" s="87">
        <v>1233251</v>
      </c>
      <c r="R72" s="87">
        <v>868089</v>
      </c>
      <c r="S72" s="88">
        <v>14.30701486062968</v>
      </c>
      <c r="T72" s="87"/>
      <c r="U72" s="636"/>
    </row>
    <row r="73" spans="1:21" hidden="1" x14ac:dyDescent="0.25">
      <c r="A73" s="809"/>
      <c r="B73" s="864"/>
      <c r="C73" s="486" t="s">
        <v>359</v>
      </c>
      <c r="D73" s="487"/>
      <c r="E73" s="487"/>
      <c r="F73" s="487"/>
      <c r="G73" s="487"/>
      <c r="H73" s="488"/>
      <c r="I73" s="489"/>
      <c r="J73" s="490"/>
      <c r="K73" s="21"/>
      <c r="L73" s="21"/>
      <c r="M73" s="20">
        <v>1289.08</v>
      </c>
      <c r="N73" s="49"/>
      <c r="O73" s="49"/>
      <c r="P73" s="49"/>
      <c r="Q73" s="49"/>
      <c r="R73" s="63"/>
      <c r="S73" s="131">
        <v>0</v>
      </c>
      <c r="T73" s="63"/>
      <c r="U73" s="421"/>
    </row>
    <row r="74" spans="1:21" x14ac:dyDescent="0.25">
      <c r="A74" s="810"/>
      <c r="B74" s="865"/>
      <c r="C74" s="183" t="s">
        <v>360</v>
      </c>
      <c r="D74" s="491"/>
      <c r="E74" s="491"/>
      <c r="F74" s="491"/>
      <c r="G74" s="491"/>
      <c r="H74" s="492"/>
      <c r="I74" s="493"/>
      <c r="J74" s="274"/>
      <c r="K74" s="27"/>
      <c r="L74" s="49"/>
      <c r="M74" s="48">
        <v>0</v>
      </c>
      <c r="N74" s="49"/>
      <c r="O74" s="49"/>
      <c r="P74" s="49"/>
      <c r="Q74" s="49"/>
      <c r="R74" s="63">
        <v>273693</v>
      </c>
      <c r="S74" s="131">
        <v>0</v>
      </c>
      <c r="T74" s="63"/>
      <c r="U74" s="421"/>
    </row>
    <row r="75" spans="1:21" x14ac:dyDescent="0.25">
      <c r="A75" s="810"/>
      <c r="B75" s="865"/>
      <c r="C75" s="183" t="s">
        <v>361</v>
      </c>
      <c r="D75" s="491"/>
      <c r="E75" s="491"/>
      <c r="F75" s="491"/>
      <c r="G75" s="491"/>
      <c r="H75" s="492"/>
      <c r="I75" s="493"/>
      <c r="J75" s="274"/>
      <c r="K75" s="27"/>
      <c r="L75" s="49"/>
      <c r="M75" s="48">
        <v>0</v>
      </c>
      <c r="N75" s="49"/>
      <c r="O75" s="49"/>
      <c r="P75" s="49"/>
      <c r="Q75" s="49"/>
      <c r="R75" s="63">
        <v>24000</v>
      </c>
      <c r="S75" s="131">
        <v>0</v>
      </c>
      <c r="T75" s="63"/>
      <c r="U75" s="421"/>
    </row>
    <row r="76" spans="1:21" x14ac:dyDescent="0.25">
      <c r="A76" s="810"/>
      <c r="B76" s="865"/>
      <c r="C76" s="183" t="s">
        <v>362</v>
      </c>
      <c r="D76" s="491"/>
      <c r="E76" s="491"/>
      <c r="F76" s="491"/>
      <c r="G76" s="491"/>
      <c r="H76" s="492"/>
      <c r="I76" s="493"/>
      <c r="J76" s="274"/>
      <c r="K76" s="27"/>
      <c r="L76" s="49"/>
      <c r="M76" s="48">
        <v>0</v>
      </c>
      <c r="N76" s="49"/>
      <c r="O76" s="49"/>
      <c r="P76" s="49"/>
      <c r="Q76" s="49"/>
      <c r="R76" s="63">
        <v>97410</v>
      </c>
      <c r="S76" s="131">
        <v>0</v>
      </c>
      <c r="T76" s="63"/>
      <c r="U76" s="421"/>
    </row>
    <row r="77" spans="1:21" x14ac:dyDescent="0.25">
      <c r="A77" s="810"/>
      <c r="B77" s="865"/>
      <c r="C77" s="183" t="s">
        <v>363</v>
      </c>
      <c r="D77" s="491"/>
      <c r="E77" s="491"/>
      <c r="F77" s="491"/>
      <c r="G77" s="491"/>
      <c r="H77" s="492"/>
      <c r="I77" s="493"/>
      <c r="J77" s="274"/>
      <c r="K77" s="27"/>
      <c r="L77" s="49"/>
      <c r="M77" s="48">
        <v>0</v>
      </c>
      <c r="N77" s="27"/>
      <c r="O77" s="63"/>
      <c r="P77" s="63"/>
      <c r="Q77" s="63"/>
      <c r="R77" s="63">
        <v>367143</v>
      </c>
      <c r="S77" s="131">
        <v>0</v>
      </c>
      <c r="T77" s="63"/>
      <c r="U77" s="421"/>
    </row>
    <row r="78" spans="1:21" x14ac:dyDescent="0.25">
      <c r="A78" s="810"/>
      <c r="B78" s="865"/>
      <c r="C78" s="494" t="s">
        <v>364</v>
      </c>
      <c r="D78" s="495"/>
      <c r="E78" s="495"/>
      <c r="F78" s="495"/>
      <c r="G78" s="495"/>
      <c r="H78" s="496"/>
      <c r="I78" s="497"/>
      <c r="J78" s="498"/>
      <c r="K78" s="52"/>
      <c r="L78" s="93"/>
      <c r="M78" s="92">
        <v>0</v>
      </c>
      <c r="N78" s="27"/>
      <c r="O78" s="63"/>
      <c r="P78" s="63"/>
      <c r="Q78" s="63"/>
      <c r="R78" s="63">
        <v>1292</v>
      </c>
      <c r="S78" s="131">
        <v>0</v>
      </c>
      <c r="T78" s="63"/>
      <c r="U78" s="421"/>
    </row>
    <row r="79" spans="1:21" x14ac:dyDescent="0.25">
      <c r="A79" s="810"/>
      <c r="B79" s="865"/>
      <c r="C79" s="376" t="s">
        <v>365</v>
      </c>
      <c r="D79" s="499"/>
      <c r="E79" s="499"/>
      <c r="F79" s="499"/>
      <c r="G79" s="499"/>
      <c r="H79" s="500"/>
      <c r="I79" s="501"/>
      <c r="J79" s="279"/>
      <c r="K79" s="52"/>
      <c r="L79" s="93"/>
      <c r="M79" s="92">
        <v>0</v>
      </c>
      <c r="N79" s="27"/>
      <c r="O79" s="63"/>
      <c r="P79" s="63"/>
      <c r="Q79" s="63"/>
      <c r="R79" s="63">
        <v>27991</v>
      </c>
      <c r="S79" s="131">
        <v>0</v>
      </c>
      <c r="T79" s="63"/>
      <c r="U79" s="421"/>
    </row>
    <row r="80" spans="1:21" ht="12.75" customHeight="1" x14ac:dyDescent="0.25">
      <c r="A80" s="810"/>
      <c r="B80" s="865"/>
      <c r="C80" s="183" t="s">
        <v>366</v>
      </c>
      <c r="D80" s="499"/>
      <c r="E80" s="499"/>
      <c r="F80" s="499"/>
      <c r="G80" s="499"/>
      <c r="H80" s="500"/>
      <c r="I80" s="501"/>
      <c r="J80" s="279"/>
      <c r="K80" s="52"/>
      <c r="L80" s="93"/>
      <c r="M80" s="92">
        <v>0</v>
      </c>
      <c r="N80" s="27"/>
      <c r="O80" s="63"/>
      <c r="P80" s="63"/>
      <c r="Q80" s="63"/>
      <c r="R80" s="63">
        <v>1104</v>
      </c>
      <c r="S80" s="131">
        <v>0</v>
      </c>
      <c r="T80" s="63"/>
      <c r="U80" s="421"/>
    </row>
    <row r="81" spans="1:24" ht="12.75" customHeight="1" x14ac:dyDescent="0.25">
      <c r="A81" s="810"/>
      <c r="B81" s="865"/>
      <c r="C81" s="183" t="s">
        <v>367</v>
      </c>
      <c r="D81" s="27"/>
      <c r="E81" s="27"/>
      <c r="F81" s="27"/>
      <c r="G81" s="27"/>
      <c r="H81" s="77"/>
      <c r="I81" s="439"/>
      <c r="J81" s="440"/>
      <c r="K81" s="27"/>
      <c r="L81" s="27"/>
      <c r="M81" s="26">
        <v>0</v>
      </c>
      <c r="N81" s="27"/>
      <c r="O81" s="63"/>
      <c r="P81" s="63"/>
      <c r="Q81" s="63"/>
      <c r="R81" s="63">
        <v>65456</v>
      </c>
      <c r="S81" s="131">
        <v>0</v>
      </c>
      <c r="T81" s="63"/>
      <c r="U81" s="421"/>
    </row>
    <row r="82" spans="1:24" ht="12.75" hidden="1" customHeight="1" x14ac:dyDescent="0.25">
      <c r="A82" s="810"/>
      <c r="B82" s="865"/>
      <c r="C82" s="62"/>
      <c r="D82" s="27"/>
      <c r="E82" s="27"/>
      <c r="F82" s="27"/>
      <c r="G82" s="27"/>
      <c r="H82" s="77"/>
      <c r="I82" s="439"/>
      <c r="J82" s="440"/>
      <c r="K82" s="27">
        <v>7632</v>
      </c>
      <c r="L82" s="27"/>
      <c r="M82" s="26">
        <v>0</v>
      </c>
      <c r="N82" s="27"/>
      <c r="O82" s="63"/>
      <c r="P82" s="63"/>
      <c r="Q82" s="63"/>
      <c r="R82" s="63"/>
      <c r="S82" s="131">
        <v>0</v>
      </c>
      <c r="T82" s="63"/>
      <c r="U82" s="421"/>
    </row>
    <row r="83" spans="1:24" hidden="1" x14ac:dyDescent="0.25">
      <c r="A83" s="810"/>
      <c r="B83" s="865"/>
      <c r="C83" s="62"/>
      <c r="D83" s="27"/>
      <c r="E83" s="27"/>
      <c r="F83" s="27"/>
      <c r="G83" s="27"/>
      <c r="H83" s="77"/>
      <c r="I83" s="439"/>
      <c r="J83" s="440"/>
      <c r="K83" s="27"/>
      <c r="L83" s="27"/>
      <c r="M83" s="26">
        <v>0</v>
      </c>
      <c r="N83" s="27"/>
      <c r="O83" s="63"/>
      <c r="P83" s="63"/>
      <c r="Q83" s="63"/>
      <c r="R83" s="63"/>
      <c r="S83" s="131">
        <v>0</v>
      </c>
      <c r="T83" s="63"/>
      <c r="U83" s="421"/>
    </row>
    <row r="84" spans="1:24" ht="12.75" hidden="1" customHeight="1" x14ac:dyDescent="0.25">
      <c r="A84" s="810"/>
      <c r="B84" s="865"/>
      <c r="C84" s="62"/>
      <c r="D84" s="27"/>
      <c r="E84" s="27"/>
      <c r="F84" s="27"/>
      <c r="G84" s="27"/>
      <c r="H84" s="77"/>
      <c r="I84" s="439"/>
      <c r="J84" s="440"/>
      <c r="K84" s="27">
        <v>0</v>
      </c>
      <c r="L84" s="27"/>
      <c r="M84" s="26">
        <v>0</v>
      </c>
      <c r="N84" s="27"/>
      <c r="O84" s="27"/>
      <c r="P84" s="27"/>
      <c r="Q84" s="27"/>
      <c r="R84" s="63"/>
      <c r="S84" s="131">
        <v>0</v>
      </c>
      <c r="T84" s="63"/>
      <c r="U84" s="421"/>
    </row>
    <row r="85" spans="1:24" hidden="1" x14ac:dyDescent="0.25">
      <c r="A85" s="810"/>
      <c r="B85" s="865"/>
      <c r="C85" s="62"/>
      <c r="D85" s="27"/>
      <c r="E85" s="27"/>
      <c r="F85" s="27"/>
      <c r="G85" s="27"/>
      <c r="H85" s="77"/>
      <c r="I85" s="439"/>
      <c r="J85" s="440"/>
      <c r="K85" s="27">
        <v>0</v>
      </c>
      <c r="L85" s="27">
        <v>1302435.6399999999</v>
      </c>
      <c r="M85" s="26">
        <v>95467.839999999997</v>
      </c>
      <c r="N85" s="27"/>
      <c r="O85" s="27"/>
      <c r="P85" s="27"/>
      <c r="Q85" s="27"/>
      <c r="R85" s="63"/>
      <c r="S85" s="131">
        <v>0</v>
      </c>
      <c r="T85" s="63"/>
      <c r="U85" s="421"/>
    </row>
    <row r="86" spans="1:24" hidden="1" x14ac:dyDescent="0.25">
      <c r="A86" s="810"/>
      <c r="B86" s="865"/>
      <c r="C86" s="62"/>
      <c r="D86" s="27"/>
      <c r="E86" s="27"/>
      <c r="F86" s="27"/>
      <c r="G86" s="27"/>
      <c r="H86" s="77"/>
      <c r="I86" s="439"/>
      <c r="J86" s="440"/>
      <c r="K86" s="27"/>
      <c r="L86" s="27"/>
      <c r="M86" s="26">
        <v>38905.74</v>
      </c>
      <c r="N86" s="27"/>
      <c r="O86" s="27"/>
      <c r="P86" s="27"/>
      <c r="Q86" s="27"/>
      <c r="R86" s="63"/>
      <c r="S86" s="131">
        <v>0</v>
      </c>
      <c r="T86" s="63"/>
      <c r="U86" s="421"/>
    </row>
    <row r="87" spans="1:24" ht="12.75" hidden="1" customHeight="1" x14ac:dyDescent="0.25">
      <c r="A87" s="810"/>
      <c r="B87" s="865"/>
      <c r="C87" s="62"/>
      <c r="D87" s="27"/>
      <c r="E87" s="27"/>
      <c r="F87" s="27"/>
      <c r="G87" s="27"/>
      <c r="H87" s="77"/>
      <c r="I87" s="439"/>
      <c r="J87" s="440"/>
      <c r="K87" s="27"/>
      <c r="L87" s="27"/>
      <c r="M87" s="26">
        <v>0</v>
      </c>
      <c r="N87" s="27"/>
      <c r="O87" s="27"/>
      <c r="P87" s="27"/>
      <c r="Q87" s="27"/>
      <c r="R87" s="63"/>
      <c r="S87" s="131">
        <v>0</v>
      </c>
      <c r="T87" s="63"/>
      <c r="U87" s="421"/>
    </row>
    <row r="88" spans="1:24" ht="12.75" hidden="1" customHeight="1" x14ac:dyDescent="0.25">
      <c r="A88" s="810"/>
      <c r="B88" s="865"/>
      <c r="C88" s="62"/>
      <c r="D88" s="27"/>
      <c r="E88" s="27"/>
      <c r="F88" s="27"/>
      <c r="G88" s="27"/>
      <c r="H88" s="77"/>
      <c r="I88" s="439"/>
      <c r="J88" s="440"/>
      <c r="K88" s="27"/>
      <c r="L88" s="27"/>
      <c r="M88" s="26">
        <v>0</v>
      </c>
      <c r="N88" s="27"/>
      <c r="O88" s="27"/>
      <c r="P88" s="27"/>
      <c r="Q88" s="27"/>
      <c r="R88" s="63"/>
      <c r="S88" s="131">
        <v>0</v>
      </c>
      <c r="T88" s="63"/>
      <c r="U88" s="421"/>
    </row>
    <row r="89" spans="1:24" ht="12.75" hidden="1" customHeight="1" x14ac:dyDescent="0.25">
      <c r="A89" s="810"/>
      <c r="B89" s="865"/>
      <c r="C89" s="62"/>
      <c r="D89" s="27"/>
      <c r="E89" s="27"/>
      <c r="F89" s="27"/>
      <c r="G89" s="27"/>
      <c r="H89" s="77"/>
      <c r="I89" s="439"/>
      <c r="J89" s="440"/>
      <c r="K89" s="27">
        <v>8090</v>
      </c>
      <c r="L89" s="27"/>
      <c r="M89" s="26">
        <v>0</v>
      </c>
      <c r="N89" s="27"/>
      <c r="O89" s="27"/>
      <c r="P89" s="27"/>
      <c r="Q89" s="27"/>
      <c r="R89" s="63"/>
      <c r="S89" s="131">
        <v>0</v>
      </c>
      <c r="T89" s="63"/>
      <c r="U89" s="421"/>
    </row>
    <row r="90" spans="1:24" hidden="1" x14ac:dyDescent="0.25">
      <c r="A90" s="810"/>
      <c r="B90" s="865"/>
      <c r="C90" s="62"/>
      <c r="D90" s="27"/>
      <c r="E90" s="27"/>
      <c r="F90" s="27"/>
      <c r="G90" s="27"/>
      <c r="H90" s="77"/>
      <c r="I90" s="439"/>
      <c r="J90" s="440"/>
      <c r="K90" s="27"/>
      <c r="L90" s="27"/>
      <c r="M90" s="26"/>
      <c r="N90" s="27"/>
      <c r="O90" s="27"/>
      <c r="P90" s="27"/>
      <c r="Q90" s="27"/>
      <c r="R90" s="63"/>
      <c r="S90" s="131">
        <v>0</v>
      </c>
      <c r="T90" s="63"/>
      <c r="U90" s="421"/>
    </row>
    <row r="91" spans="1:24" x14ac:dyDescent="0.25">
      <c r="A91" s="810"/>
      <c r="B91" s="865"/>
      <c r="C91" s="62" t="s">
        <v>428</v>
      </c>
      <c r="D91" s="52"/>
      <c r="E91" s="52"/>
      <c r="F91" s="52"/>
      <c r="G91" s="52"/>
      <c r="H91" s="86"/>
      <c r="I91" s="441"/>
      <c r="J91" s="442"/>
      <c r="K91" s="52"/>
      <c r="L91" s="52"/>
      <c r="M91" s="51"/>
      <c r="N91" s="52"/>
      <c r="O91" s="52"/>
      <c r="P91" s="52"/>
      <c r="Q91" s="52"/>
      <c r="R91" s="63">
        <v>10000</v>
      </c>
      <c r="S91" s="131">
        <v>0</v>
      </c>
      <c r="T91" s="63"/>
      <c r="U91" s="421"/>
    </row>
    <row r="92" spans="1:24" ht="0.75" customHeight="1" thickBot="1" x14ac:dyDescent="0.3">
      <c r="A92" s="811"/>
      <c r="B92" s="866"/>
      <c r="C92" s="186"/>
      <c r="D92" s="52"/>
      <c r="E92" s="52"/>
      <c r="F92" s="52"/>
      <c r="G92" s="52"/>
      <c r="H92" s="86"/>
      <c r="I92" s="441"/>
      <c r="J92" s="442"/>
      <c r="K92" s="52"/>
      <c r="L92" s="52"/>
      <c r="M92" s="51"/>
      <c r="N92" s="52"/>
      <c r="O92" s="52"/>
      <c r="P92" s="52"/>
      <c r="Q92" s="52"/>
      <c r="R92" s="96"/>
      <c r="S92" s="131">
        <v>0</v>
      </c>
      <c r="T92" s="96"/>
      <c r="U92" s="635"/>
    </row>
    <row r="93" spans="1:24" s="507" customFormat="1" ht="15.75" thickBot="1" x14ac:dyDescent="0.3">
      <c r="A93" s="286" t="s">
        <v>368</v>
      </c>
      <c r="B93" s="880" t="s">
        <v>369</v>
      </c>
      <c r="C93" s="823"/>
      <c r="D93" s="502"/>
      <c r="E93" s="502"/>
      <c r="F93" s="502"/>
      <c r="G93" s="502"/>
      <c r="H93" s="503"/>
      <c r="I93" s="504"/>
      <c r="J93" s="505"/>
      <c r="K93" s="502"/>
      <c r="L93" s="502"/>
      <c r="M93" s="506"/>
      <c r="N93" s="89"/>
      <c r="O93" s="89"/>
      <c r="P93" s="89">
        <v>5880</v>
      </c>
      <c r="Q93" s="89">
        <v>41760</v>
      </c>
      <c r="R93" s="87">
        <v>0</v>
      </c>
      <c r="S93" s="88">
        <v>0</v>
      </c>
      <c r="T93" s="87"/>
      <c r="U93" s="636"/>
      <c r="X93" s="508"/>
    </row>
    <row r="94" spans="1:24" ht="15.75" thickBot="1" x14ac:dyDescent="0.3">
      <c r="A94" s="451"/>
      <c r="B94" s="452"/>
      <c r="C94" s="208" t="s">
        <v>370</v>
      </c>
      <c r="D94" s="33"/>
      <c r="E94" s="33"/>
      <c r="F94" s="33"/>
      <c r="G94" s="33"/>
      <c r="H94" s="78"/>
      <c r="I94" s="476"/>
      <c r="J94" s="477"/>
      <c r="K94" s="33">
        <v>476</v>
      </c>
      <c r="L94" s="33">
        <v>3000</v>
      </c>
      <c r="M94" s="32">
        <v>3545</v>
      </c>
      <c r="N94" s="16"/>
      <c r="O94" s="16"/>
      <c r="P94" s="16"/>
      <c r="Q94" s="107"/>
      <c r="R94" s="203"/>
      <c r="S94" s="301">
        <v>0</v>
      </c>
      <c r="T94" s="203"/>
      <c r="U94" s="637"/>
    </row>
    <row r="95" spans="1:24" ht="15.75" hidden="1" thickBot="1" x14ac:dyDescent="0.3">
      <c r="A95" s="286" t="s">
        <v>371</v>
      </c>
      <c r="B95" s="772" t="s">
        <v>248</v>
      </c>
      <c r="C95" s="773"/>
      <c r="D95" s="509"/>
      <c r="E95" s="509"/>
      <c r="F95" s="509"/>
      <c r="G95" s="509"/>
      <c r="H95" s="611"/>
      <c r="I95" s="510"/>
      <c r="J95" s="511"/>
      <c r="K95" s="105"/>
      <c r="L95" s="105"/>
      <c r="M95" s="105"/>
      <c r="N95" s="105"/>
      <c r="O95" s="105"/>
      <c r="P95" s="105"/>
      <c r="Q95" s="105"/>
      <c r="R95" s="87"/>
      <c r="S95" s="88">
        <v>0</v>
      </c>
      <c r="T95" s="87"/>
      <c r="U95" s="636"/>
    </row>
    <row r="96" spans="1:24" ht="15.75" hidden="1" thickBot="1" x14ac:dyDescent="0.3">
      <c r="A96" s="434"/>
      <c r="B96" s="438"/>
      <c r="C96" s="62"/>
      <c r="D96" s="27"/>
      <c r="E96" s="27"/>
      <c r="F96" s="27"/>
      <c r="G96" s="27"/>
      <c r="H96" s="77"/>
      <c r="I96" s="439"/>
      <c r="J96" s="440"/>
      <c r="K96" s="27"/>
      <c r="L96" s="27"/>
      <c r="M96" s="27"/>
      <c r="N96" s="27"/>
      <c r="O96" s="27"/>
      <c r="P96" s="27"/>
      <c r="Q96" s="27"/>
      <c r="R96" s="63"/>
      <c r="S96" s="131">
        <v>0</v>
      </c>
      <c r="T96" s="63"/>
      <c r="U96" s="421"/>
    </row>
    <row r="97" spans="1:21" ht="15.75" hidden="1" thickBot="1" x14ac:dyDescent="0.3">
      <c r="A97" s="434"/>
      <c r="B97" s="438"/>
      <c r="C97" s="62"/>
      <c r="D97" s="27"/>
      <c r="E97" s="27"/>
      <c r="F97" s="27"/>
      <c r="G97" s="27"/>
      <c r="H97" s="77"/>
      <c r="I97" s="439"/>
      <c r="J97" s="440"/>
      <c r="K97" s="27"/>
      <c r="L97" s="27"/>
      <c r="M97" s="27"/>
      <c r="N97" s="27"/>
      <c r="O97" s="27"/>
      <c r="P97" s="27"/>
      <c r="Q97" s="27"/>
      <c r="R97" s="63"/>
      <c r="S97" s="131">
        <v>0</v>
      </c>
      <c r="T97" s="63"/>
      <c r="U97" s="421"/>
    </row>
    <row r="98" spans="1:21" ht="15.75" hidden="1" thickBot="1" x14ac:dyDescent="0.3">
      <c r="A98" s="434"/>
      <c r="B98" s="438"/>
      <c r="C98" s="65"/>
      <c r="D98" s="52"/>
      <c r="E98" s="52"/>
      <c r="F98" s="52"/>
      <c r="G98" s="52"/>
      <c r="H98" s="86"/>
      <c r="I98" s="441"/>
      <c r="J98" s="442"/>
      <c r="K98" s="52"/>
      <c r="L98" s="52"/>
      <c r="M98" s="52"/>
      <c r="N98" s="52"/>
      <c r="O98" s="52"/>
      <c r="P98" s="52"/>
      <c r="Q98" s="52"/>
      <c r="R98" s="96"/>
      <c r="S98" s="220">
        <v>0</v>
      </c>
      <c r="T98" s="96"/>
      <c r="U98" s="635"/>
    </row>
    <row r="99" spans="1:21" ht="15.75" thickBot="1" x14ac:dyDescent="0.3">
      <c r="A99" s="437" t="s">
        <v>227</v>
      </c>
      <c r="B99" s="862" t="s">
        <v>372</v>
      </c>
      <c r="C99" s="862"/>
      <c r="D99" s="192">
        <v>8298</v>
      </c>
      <c r="E99" s="192">
        <v>3983</v>
      </c>
      <c r="F99" s="192">
        <v>175065</v>
      </c>
      <c r="G99" s="192">
        <v>138049</v>
      </c>
      <c r="H99" s="192">
        <v>127764</v>
      </c>
      <c r="I99" s="423">
        <v>149292</v>
      </c>
      <c r="J99" s="192">
        <v>3000</v>
      </c>
      <c r="K99" s="87">
        <f>SUM(K104:K106)</f>
        <v>6455</v>
      </c>
      <c r="L99" s="87">
        <f t="shared" ref="L99:M99" si="2">SUM(L100:L106)</f>
        <v>131475.39000000001</v>
      </c>
      <c r="M99" s="88">
        <f t="shared" si="2"/>
        <v>1775474.1500000001</v>
      </c>
      <c r="N99" s="87">
        <v>12967.75</v>
      </c>
      <c r="O99" s="88">
        <v>2000</v>
      </c>
      <c r="P99" s="88">
        <v>138793.75</v>
      </c>
      <c r="Q99" s="87">
        <v>37479</v>
      </c>
      <c r="R99" s="87">
        <v>0</v>
      </c>
      <c r="S99" s="88">
        <v>0</v>
      </c>
      <c r="T99" s="87"/>
      <c r="U99" s="636"/>
    </row>
    <row r="100" spans="1:21" ht="15.75" thickBot="1" x14ac:dyDescent="0.3">
      <c r="A100" s="812"/>
      <c r="B100" s="872"/>
      <c r="C100" s="459"/>
      <c r="D100" s="512"/>
      <c r="E100" s="512"/>
      <c r="F100" s="512"/>
      <c r="G100" s="512"/>
      <c r="H100" s="513"/>
      <c r="I100" s="514"/>
      <c r="J100" s="515"/>
      <c r="K100" s="19"/>
      <c r="L100" s="19">
        <v>123141.28</v>
      </c>
      <c r="M100" s="171">
        <v>1602434.8900000001</v>
      </c>
      <c r="N100" s="19"/>
      <c r="O100" s="19"/>
      <c r="P100" s="19"/>
      <c r="Q100" s="19"/>
      <c r="R100" s="18"/>
      <c r="S100" s="170">
        <v>0</v>
      </c>
      <c r="T100" s="18"/>
      <c r="U100" s="704"/>
    </row>
    <row r="101" spans="1:21" ht="15.75" hidden="1" thickBot="1" x14ac:dyDescent="0.3">
      <c r="A101" s="813"/>
      <c r="B101" s="873"/>
      <c r="C101" s="463"/>
      <c r="D101" s="516"/>
      <c r="E101" s="516"/>
      <c r="F101" s="516"/>
      <c r="G101" s="516"/>
      <c r="H101" s="517"/>
      <c r="I101" s="518"/>
      <c r="J101" s="519"/>
      <c r="K101" s="47"/>
      <c r="L101" s="47"/>
      <c r="M101" s="234">
        <v>18092.39</v>
      </c>
      <c r="N101" s="47"/>
      <c r="O101" s="47"/>
      <c r="P101" s="47"/>
      <c r="Q101" s="47"/>
      <c r="R101" s="116"/>
      <c r="S101" s="252">
        <v>0</v>
      </c>
      <c r="T101" s="116"/>
      <c r="U101" s="705"/>
    </row>
    <row r="102" spans="1:21" ht="15.75" hidden="1" thickBot="1" x14ac:dyDescent="0.3">
      <c r="A102" s="813"/>
      <c r="B102" s="873"/>
      <c r="C102" s="463"/>
      <c r="D102" s="516"/>
      <c r="E102" s="516"/>
      <c r="F102" s="516"/>
      <c r="G102" s="516"/>
      <c r="H102" s="517"/>
      <c r="I102" s="518"/>
      <c r="J102" s="519"/>
      <c r="K102" s="47"/>
      <c r="L102" s="47"/>
      <c r="M102" s="234">
        <v>16624.5</v>
      </c>
      <c r="N102" s="47"/>
      <c r="O102" s="47"/>
      <c r="P102" s="47"/>
      <c r="Q102" s="47"/>
      <c r="R102" s="116"/>
      <c r="S102" s="252">
        <v>0</v>
      </c>
      <c r="T102" s="116"/>
      <c r="U102" s="705"/>
    </row>
    <row r="103" spans="1:21" ht="15.75" hidden="1" thickBot="1" x14ac:dyDescent="0.3">
      <c r="A103" s="813"/>
      <c r="B103" s="873"/>
      <c r="C103" s="463"/>
      <c r="D103" s="516"/>
      <c r="E103" s="516"/>
      <c r="F103" s="516"/>
      <c r="G103" s="516"/>
      <c r="H103" s="517"/>
      <c r="I103" s="518"/>
      <c r="J103" s="519"/>
      <c r="K103" s="47"/>
      <c r="L103" s="47"/>
      <c r="M103" s="234">
        <v>120000</v>
      </c>
      <c r="N103" s="47"/>
      <c r="O103" s="47"/>
      <c r="P103" s="47"/>
      <c r="Q103" s="47"/>
      <c r="R103" s="116"/>
      <c r="S103" s="252">
        <v>0</v>
      </c>
      <c r="T103" s="116"/>
      <c r="U103" s="705"/>
    </row>
    <row r="104" spans="1:21" ht="15.75" hidden="1" thickBot="1" x14ac:dyDescent="0.3">
      <c r="A104" s="813"/>
      <c r="B104" s="873"/>
      <c r="C104" s="94"/>
      <c r="D104" s="49"/>
      <c r="E104" s="49"/>
      <c r="F104" s="49"/>
      <c r="G104" s="49"/>
      <c r="H104" s="75"/>
      <c r="I104" s="449"/>
      <c r="J104" s="450"/>
      <c r="K104" s="49">
        <v>6455</v>
      </c>
      <c r="L104" s="49"/>
      <c r="M104" s="48">
        <v>14992.37</v>
      </c>
      <c r="N104" s="49"/>
      <c r="O104" s="49"/>
      <c r="P104" s="49"/>
      <c r="Q104" s="49"/>
      <c r="R104" s="76"/>
      <c r="S104" s="95">
        <v>0</v>
      </c>
      <c r="T104" s="76"/>
      <c r="U104" s="395"/>
    </row>
    <row r="105" spans="1:21" ht="15.75" hidden="1" thickBot="1" x14ac:dyDescent="0.3">
      <c r="A105" s="813"/>
      <c r="B105" s="873"/>
      <c r="C105" s="186"/>
      <c r="D105" s="93"/>
      <c r="E105" s="93"/>
      <c r="F105" s="93"/>
      <c r="G105" s="93"/>
      <c r="H105" s="91"/>
      <c r="I105" s="453"/>
      <c r="J105" s="454"/>
      <c r="K105" s="93"/>
      <c r="L105" s="63"/>
      <c r="M105" s="26"/>
      <c r="N105" s="49"/>
      <c r="O105" s="49"/>
      <c r="P105" s="49"/>
      <c r="Q105" s="49"/>
      <c r="R105" s="76"/>
      <c r="S105" s="95">
        <v>0</v>
      </c>
      <c r="T105" s="76"/>
      <c r="U105" s="395"/>
    </row>
    <row r="106" spans="1:21" ht="15.75" hidden="1" thickBot="1" x14ac:dyDescent="0.3">
      <c r="A106" s="814"/>
      <c r="B106" s="874"/>
      <c r="C106" s="64"/>
      <c r="D106" s="33"/>
      <c r="E106" s="33"/>
      <c r="F106" s="33"/>
      <c r="G106" s="33"/>
      <c r="H106" s="78"/>
      <c r="I106" s="476"/>
      <c r="J106" s="477"/>
      <c r="K106" s="33"/>
      <c r="L106" s="100">
        <v>8334.11</v>
      </c>
      <c r="M106" s="99">
        <v>3330</v>
      </c>
      <c r="N106" s="100"/>
      <c r="O106" s="100"/>
      <c r="P106" s="100"/>
      <c r="Q106" s="100"/>
      <c r="R106" s="159"/>
      <c r="S106" s="350">
        <v>0</v>
      </c>
      <c r="T106" s="159"/>
      <c r="U106" s="700"/>
    </row>
    <row r="107" spans="1:21" ht="15.75" thickBot="1" x14ac:dyDescent="0.3">
      <c r="A107" s="437" t="s">
        <v>373</v>
      </c>
      <c r="B107" s="862" t="s">
        <v>233</v>
      </c>
      <c r="C107" s="862"/>
      <c r="D107" s="192"/>
      <c r="E107" s="192">
        <v>22472</v>
      </c>
      <c r="F107" s="192">
        <v>20713</v>
      </c>
      <c r="G107" s="192">
        <v>11074</v>
      </c>
      <c r="H107" s="192">
        <v>15914</v>
      </c>
      <c r="I107" s="423">
        <v>116842</v>
      </c>
      <c r="J107" s="192">
        <v>38905</v>
      </c>
      <c r="K107" s="87">
        <f t="shared" ref="K107:M107" si="3">SUM(K108:K113)</f>
        <v>15848</v>
      </c>
      <c r="L107" s="87">
        <f t="shared" si="3"/>
        <v>26915.190000000002</v>
      </c>
      <c r="M107" s="88">
        <f t="shared" si="3"/>
        <v>9771.24</v>
      </c>
      <c r="N107" s="87">
        <v>62531.63</v>
      </c>
      <c r="O107" s="88">
        <v>193266.02</v>
      </c>
      <c r="P107" s="88">
        <v>3920.81</v>
      </c>
      <c r="Q107" s="87"/>
      <c r="R107" s="87">
        <v>0</v>
      </c>
      <c r="S107" s="88">
        <v>0</v>
      </c>
      <c r="T107" s="87"/>
      <c r="U107" s="636"/>
    </row>
    <row r="108" spans="1:21" ht="15.75" thickBot="1" x14ac:dyDescent="0.3">
      <c r="A108" s="809"/>
      <c r="B108" s="864"/>
      <c r="C108" s="60"/>
      <c r="D108" s="21"/>
      <c r="E108" s="21"/>
      <c r="F108" s="21"/>
      <c r="G108" s="21"/>
      <c r="H108" s="74"/>
      <c r="I108" s="447"/>
      <c r="J108" s="448"/>
      <c r="K108" s="21">
        <v>7000</v>
      </c>
      <c r="L108" s="49">
        <v>16662.2</v>
      </c>
      <c r="M108" s="48"/>
      <c r="N108" s="49"/>
      <c r="O108" s="49"/>
      <c r="P108" s="16"/>
      <c r="Q108" s="16"/>
      <c r="R108" s="107"/>
      <c r="S108" s="209">
        <v>0</v>
      </c>
      <c r="T108" s="107"/>
      <c r="U108" s="706"/>
    </row>
    <row r="109" spans="1:21" ht="15.75" hidden="1" thickBot="1" x14ac:dyDescent="0.3">
      <c r="A109" s="810"/>
      <c r="B109" s="865"/>
      <c r="C109" s="62"/>
      <c r="D109" s="27"/>
      <c r="E109" s="27"/>
      <c r="F109" s="27"/>
      <c r="G109" s="27"/>
      <c r="H109" s="77"/>
      <c r="I109" s="439"/>
      <c r="J109" s="440"/>
      <c r="K109" s="27"/>
      <c r="L109" s="27"/>
      <c r="M109" s="26"/>
      <c r="N109" s="27"/>
      <c r="O109" s="27"/>
      <c r="P109" s="49"/>
      <c r="Q109" s="49"/>
      <c r="R109" s="76"/>
      <c r="S109" s="95">
        <v>0</v>
      </c>
      <c r="T109" s="76"/>
      <c r="U109" s="395"/>
    </row>
    <row r="110" spans="1:21" ht="15.75" hidden="1" thickBot="1" x14ac:dyDescent="0.3">
      <c r="A110" s="810"/>
      <c r="B110" s="865"/>
      <c r="C110" s="62"/>
      <c r="D110" s="27"/>
      <c r="E110" s="27"/>
      <c r="F110" s="27"/>
      <c r="G110" s="27"/>
      <c r="H110" s="77"/>
      <c r="I110" s="439"/>
      <c r="J110" s="440"/>
      <c r="K110" s="27"/>
      <c r="L110" s="27"/>
      <c r="M110" s="26"/>
      <c r="N110" s="27"/>
      <c r="O110" s="27"/>
      <c r="P110" s="27"/>
      <c r="Q110" s="27"/>
      <c r="R110" s="63"/>
      <c r="S110" s="131">
        <v>0</v>
      </c>
      <c r="T110" s="63"/>
      <c r="U110" s="421"/>
    </row>
    <row r="111" spans="1:21" ht="15.75" hidden="1" thickBot="1" x14ac:dyDescent="0.3">
      <c r="A111" s="810"/>
      <c r="B111" s="865"/>
      <c r="C111" s="62"/>
      <c r="D111" s="27"/>
      <c r="E111" s="27"/>
      <c r="F111" s="27"/>
      <c r="G111" s="27"/>
      <c r="H111" s="77"/>
      <c r="I111" s="439"/>
      <c r="J111" s="440"/>
      <c r="K111" s="27"/>
      <c r="L111" s="27"/>
      <c r="M111" s="26"/>
      <c r="N111" s="27"/>
      <c r="O111" s="27"/>
      <c r="P111" s="27"/>
      <c r="Q111" s="27"/>
      <c r="R111" s="63"/>
      <c r="S111" s="131">
        <v>0</v>
      </c>
      <c r="T111" s="63"/>
      <c r="U111" s="421"/>
    </row>
    <row r="112" spans="1:21" ht="15.75" hidden="1" thickBot="1" x14ac:dyDescent="0.3">
      <c r="A112" s="810"/>
      <c r="B112" s="865"/>
      <c r="C112" s="64"/>
      <c r="D112" s="33"/>
      <c r="E112" s="33"/>
      <c r="F112" s="33"/>
      <c r="G112" s="33"/>
      <c r="H112" s="78"/>
      <c r="I112" s="476"/>
      <c r="J112" s="477"/>
      <c r="K112" s="33"/>
      <c r="L112" s="33"/>
      <c r="M112" s="32">
        <v>9771.24</v>
      </c>
      <c r="N112" s="33"/>
      <c r="O112" s="33"/>
      <c r="P112" s="33"/>
      <c r="Q112" s="33"/>
      <c r="R112" s="30"/>
      <c r="S112" s="520">
        <v>0</v>
      </c>
      <c r="T112" s="30"/>
      <c r="U112" s="707"/>
    </row>
    <row r="113" spans="1:24" ht="15.75" hidden="1" thickBot="1" x14ac:dyDescent="0.3">
      <c r="A113" s="811"/>
      <c r="B113" s="866"/>
      <c r="C113" s="208" t="s">
        <v>374</v>
      </c>
      <c r="D113" s="100"/>
      <c r="E113" s="100"/>
      <c r="F113" s="100"/>
      <c r="G113" s="100"/>
      <c r="H113" s="98"/>
      <c r="I113" s="521"/>
      <c r="J113" s="522"/>
      <c r="K113" s="100">
        <v>8848</v>
      </c>
      <c r="L113" s="100">
        <v>10252.99</v>
      </c>
      <c r="M113" s="99"/>
      <c r="N113" s="100"/>
      <c r="O113" s="100"/>
      <c r="P113" s="100"/>
      <c r="Q113" s="100"/>
      <c r="R113" s="159"/>
      <c r="S113" s="350">
        <v>0</v>
      </c>
      <c r="T113" s="159"/>
      <c r="U113" s="700"/>
    </row>
    <row r="114" spans="1:24" ht="17.25" customHeight="1" thickBot="1" x14ac:dyDescent="0.3">
      <c r="A114" s="455" t="s">
        <v>375</v>
      </c>
      <c r="B114" s="760" t="s">
        <v>252</v>
      </c>
      <c r="C114" s="761"/>
      <c r="D114" s="509"/>
      <c r="E114" s="509"/>
      <c r="F114" s="509"/>
      <c r="G114" s="509"/>
      <c r="H114" s="611"/>
      <c r="I114" s="510"/>
      <c r="J114" s="511"/>
      <c r="K114" s="105">
        <v>5500</v>
      </c>
      <c r="L114" s="105"/>
      <c r="M114" s="105">
        <f>M115</f>
        <v>0</v>
      </c>
      <c r="N114" s="105"/>
      <c r="O114" s="523">
        <v>10000</v>
      </c>
      <c r="P114" s="523">
        <v>2238</v>
      </c>
      <c r="Q114" s="105">
        <v>22826</v>
      </c>
      <c r="R114" s="103">
        <v>0</v>
      </c>
      <c r="S114" s="104">
        <v>0</v>
      </c>
      <c r="T114" s="103"/>
      <c r="U114" s="708"/>
    </row>
    <row r="115" spans="1:24" ht="17.25" customHeight="1" thickBot="1" x14ac:dyDescent="0.3">
      <c r="A115" s="434"/>
      <c r="B115" s="438"/>
      <c r="C115" s="208" t="s">
        <v>351</v>
      </c>
      <c r="D115" s="93"/>
      <c r="E115" s="93"/>
      <c r="F115" s="93"/>
      <c r="G115" s="93"/>
      <c r="H115" s="91"/>
      <c r="I115" s="453"/>
      <c r="J115" s="454"/>
      <c r="K115" s="93">
        <v>5500</v>
      </c>
      <c r="L115" s="93"/>
      <c r="M115" s="93"/>
      <c r="N115" s="93"/>
      <c r="O115" s="92"/>
      <c r="P115" s="92"/>
      <c r="Q115" s="93"/>
      <c r="R115" s="63"/>
      <c r="S115" s="131">
        <v>0</v>
      </c>
      <c r="T115" s="63"/>
      <c r="U115" s="421"/>
    </row>
    <row r="116" spans="1:24" ht="17.25" customHeight="1" thickBot="1" x14ac:dyDescent="0.3">
      <c r="A116" s="524" t="s">
        <v>256</v>
      </c>
      <c r="B116" s="877" t="s">
        <v>257</v>
      </c>
      <c r="C116" s="877"/>
      <c r="D116" s="192">
        <v>666567</v>
      </c>
      <c r="E116" s="192">
        <v>223164</v>
      </c>
      <c r="F116" s="192">
        <v>527019</v>
      </c>
      <c r="G116" s="192">
        <v>279677</v>
      </c>
      <c r="H116" s="192">
        <v>1160065</v>
      </c>
      <c r="I116" s="525">
        <v>2097438</v>
      </c>
      <c r="J116" s="192">
        <v>344577</v>
      </c>
      <c r="K116" s="87">
        <f t="shared" ref="K116:M116" si="4">SUM(K117:K131)</f>
        <v>11076</v>
      </c>
      <c r="L116" s="87">
        <f t="shared" si="4"/>
        <v>22611.84</v>
      </c>
      <c r="M116" s="88">
        <f t="shared" si="4"/>
        <v>52135.360000000001</v>
      </c>
      <c r="N116" s="87">
        <v>60359.19</v>
      </c>
      <c r="O116" s="88">
        <v>319793.28999999998</v>
      </c>
      <c r="P116" s="88">
        <v>478985.9</v>
      </c>
      <c r="Q116" s="87">
        <v>459657</v>
      </c>
      <c r="R116" s="87">
        <v>159502</v>
      </c>
      <c r="S116" s="88">
        <v>0.49876593720900153</v>
      </c>
      <c r="T116" s="87"/>
      <c r="U116" s="636"/>
    </row>
    <row r="117" spans="1:24" hidden="1" x14ac:dyDescent="0.25">
      <c r="A117" s="809"/>
      <c r="B117" s="864"/>
      <c r="C117" s="62"/>
      <c r="D117" s="77"/>
      <c r="E117" s="77"/>
      <c r="F117" s="77"/>
      <c r="G117" s="77"/>
      <c r="H117" s="77"/>
      <c r="I117" s="439"/>
      <c r="J117" s="440"/>
      <c r="K117" s="27">
        <v>11076</v>
      </c>
      <c r="L117" s="49"/>
      <c r="M117" s="49"/>
      <c r="N117" s="49"/>
      <c r="O117" s="49"/>
      <c r="P117" s="49"/>
      <c r="Q117" s="49"/>
      <c r="R117" s="76"/>
      <c r="S117" s="95">
        <v>0</v>
      </c>
      <c r="T117" s="76"/>
      <c r="U117" s="395"/>
    </row>
    <row r="118" spans="1:24" hidden="1" x14ac:dyDescent="0.25">
      <c r="A118" s="810"/>
      <c r="B118" s="865"/>
      <c r="C118" s="62"/>
      <c r="D118" s="77"/>
      <c r="E118" s="77"/>
      <c r="F118" s="77"/>
      <c r="G118" s="77"/>
      <c r="H118" s="77"/>
      <c r="I118" s="439"/>
      <c r="J118" s="440"/>
      <c r="K118" s="27"/>
      <c r="L118" s="49"/>
      <c r="M118" s="49"/>
      <c r="N118" s="49"/>
      <c r="O118" s="49"/>
      <c r="P118" s="49"/>
      <c r="Q118" s="49"/>
      <c r="R118" s="76"/>
      <c r="S118" s="95">
        <v>0</v>
      </c>
      <c r="T118" s="76"/>
      <c r="U118" s="395"/>
    </row>
    <row r="119" spans="1:24" hidden="1" x14ac:dyDescent="0.25">
      <c r="A119" s="810"/>
      <c r="B119" s="865"/>
      <c r="C119" s="62" t="s">
        <v>376</v>
      </c>
      <c r="D119" s="77"/>
      <c r="E119" s="77"/>
      <c r="F119" s="77"/>
      <c r="G119" s="77"/>
      <c r="H119" s="77"/>
      <c r="I119" s="439"/>
      <c r="J119" s="440"/>
      <c r="K119" s="27"/>
      <c r="L119" s="49"/>
      <c r="M119" s="49"/>
      <c r="N119" s="49"/>
      <c r="O119" s="49"/>
      <c r="P119" s="49"/>
      <c r="Q119" s="49"/>
      <c r="R119" s="76"/>
      <c r="S119" s="95">
        <v>0</v>
      </c>
      <c r="T119" s="76"/>
      <c r="U119" s="395"/>
    </row>
    <row r="120" spans="1:24" hidden="1" x14ac:dyDescent="0.25">
      <c r="A120" s="810"/>
      <c r="B120" s="865"/>
      <c r="C120" s="62" t="s">
        <v>377</v>
      </c>
      <c r="D120" s="77"/>
      <c r="E120" s="77"/>
      <c r="F120" s="77"/>
      <c r="G120" s="77"/>
      <c r="H120" s="77"/>
      <c r="I120" s="439"/>
      <c r="J120" s="440"/>
      <c r="K120" s="27"/>
      <c r="L120" s="49"/>
      <c r="M120" s="49"/>
      <c r="N120" s="49"/>
      <c r="O120" s="49"/>
      <c r="P120" s="49"/>
      <c r="Q120" s="49"/>
      <c r="R120" s="76"/>
      <c r="S120" s="95">
        <v>0</v>
      </c>
      <c r="T120" s="76"/>
      <c r="U120" s="395"/>
    </row>
    <row r="121" spans="1:24" hidden="1" x14ac:dyDescent="0.25">
      <c r="A121" s="810"/>
      <c r="B121" s="865"/>
      <c r="C121" s="62" t="s">
        <v>103</v>
      </c>
      <c r="D121" s="77"/>
      <c r="E121" s="77"/>
      <c r="F121" s="77"/>
      <c r="G121" s="77"/>
      <c r="H121" s="77"/>
      <c r="I121" s="439"/>
      <c r="J121" s="440"/>
      <c r="K121" s="27"/>
      <c r="L121" s="49"/>
      <c r="M121" s="49"/>
      <c r="N121" s="49"/>
      <c r="O121" s="49"/>
      <c r="P121" s="49"/>
      <c r="Q121" s="49"/>
      <c r="R121" s="76"/>
      <c r="S121" s="95">
        <v>0</v>
      </c>
      <c r="T121" s="76"/>
      <c r="U121" s="395"/>
    </row>
    <row r="122" spans="1:24" hidden="1" x14ac:dyDescent="0.25">
      <c r="A122" s="810"/>
      <c r="B122" s="865"/>
      <c r="C122" s="62"/>
      <c r="D122" s="77"/>
      <c r="E122" s="77"/>
      <c r="F122" s="77"/>
      <c r="G122" s="77"/>
      <c r="H122" s="77"/>
      <c r="I122" s="439"/>
      <c r="J122" s="440"/>
      <c r="K122" s="27"/>
      <c r="L122" s="49"/>
      <c r="M122" s="49"/>
      <c r="N122" s="49"/>
      <c r="O122" s="49"/>
      <c r="P122" s="49"/>
      <c r="Q122" s="49"/>
      <c r="R122" s="76"/>
      <c r="S122" s="95">
        <v>0</v>
      </c>
      <c r="T122" s="76"/>
      <c r="U122" s="395"/>
    </row>
    <row r="123" spans="1:24" hidden="1" x14ac:dyDescent="0.25">
      <c r="A123" s="810"/>
      <c r="B123" s="865"/>
      <c r="C123" s="62"/>
      <c r="D123" s="77"/>
      <c r="E123" s="77"/>
      <c r="F123" s="77"/>
      <c r="G123" s="77"/>
      <c r="H123" s="77"/>
      <c r="I123" s="439"/>
      <c r="J123" s="440"/>
      <c r="K123" s="27"/>
      <c r="L123" s="49"/>
      <c r="M123" s="49"/>
      <c r="N123" s="49"/>
      <c r="O123" s="49"/>
      <c r="P123" s="49"/>
      <c r="Q123" s="49"/>
      <c r="R123" s="76"/>
      <c r="S123" s="95">
        <v>0</v>
      </c>
      <c r="T123" s="76"/>
      <c r="U123" s="395"/>
      <c r="X123" s="327">
        <f>SUM(R122:R124)</f>
        <v>0</v>
      </c>
    </row>
    <row r="124" spans="1:24" hidden="1" x14ac:dyDescent="0.25">
      <c r="A124" s="810"/>
      <c r="B124" s="865"/>
      <c r="C124" s="62"/>
      <c r="D124" s="77"/>
      <c r="E124" s="77"/>
      <c r="F124" s="77"/>
      <c r="G124" s="77"/>
      <c r="H124" s="77"/>
      <c r="I124" s="439"/>
      <c r="J124" s="440"/>
      <c r="K124" s="27"/>
      <c r="L124" s="49">
        <v>22611.84</v>
      </c>
      <c r="M124" s="48"/>
      <c r="N124" s="49"/>
      <c r="O124" s="49"/>
      <c r="P124" s="49"/>
      <c r="Q124" s="49"/>
      <c r="R124" s="76"/>
      <c r="S124" s="95">
        <v>0</v>
      </c>
      <c r="T124" s="76"/>
      <c r="U124" s="395"/>
    </row>
    <row r="125" spans="1:24" x14ac:dyDescent="0.25">
      <c r="A125" s="810"/>
      <c r="B125" s="865"/>
      <c r="C125" s="62" t="s">
        <v>378</v>
      </c>
      <c r="D125" s="77"/>
      <c r="E125" s="77"/>
      <c r="F125" s="77"/>
      <c r="G125" s="77"/>
      <c r="H125" s="77"/>
      <c r="I125" s="439"/>
      <c r="J125" s="440"/>
      <c r="K125" s="27"/>
      <c r="L125" s="49"/>
      <c r="M125" s="48"/>
      <c r="N125" s="49"/>
      <c r="O125" s="49"/>
      <c r="P125" s="49"/>
      <c r="Q125" s="49"/>
      <c r="R125" s="76">
        <v>113373</v>
      </c>
      <c r="S125" s="95">
        <v>0</v>
      </c>
      <c r="T125" s="76"/>
      <c r="U125" s="395"/>
    </row>
    <row r="126" spans="1:24" x14ac:dyDescent="0.25">
      <c r="A126" s="810"/>
      <c r="B126" s="865"/>
      <c r="C126" s="62" t="s">
        <v>379</v>
      </c>
      <c r="D126" s="77"/>
      <c r="E126" s="77"/>
      <c r="F126" s="77"/>
      <c r="G126" s="77"/>
      <c r="H126" s="77"/>
      <c r="I126" s="439"/>
      <c r="J126" s="440"/>
      <c r="K126" s="27"/>
      <c r="L126" s="49"/>
      <c r="M126" s="48">
        <v>31200</v>
      </c>
      <c r="N126" s="49"/>
      <c r="O126" s="49"/>
      <c r="P126" s="49"/>
      <c r="Q126" s="49"/>
      <c r="R126" s="76">
        <v>34975</v>
      </c>
      <c r="S126" s="95">
        <v>0</v>
      </c>
      <c r="T126" s="76"/>
      <c r="U126" s="395"/>
    </row>
    <row r="127" spans="1:24" ht="15.75" thickBot="1" x14ac:dyDescent="0.3">
      <c r="A127" s="810"/>
      <c r="B127" s="865"/>
      <c r="C127" s="62" t="s">
        <v>380</v>
      </c>
      <c r="D127" s="77"/>
      <c r="E127" s="77"/>
      <c r="F127" s="77"/>
      <c r="G127" s="77"/>
      <c r="H127" s="77"/>
      <c r="I127" s="439"/>
      <c r="J127" s="440"/>
      <c r="K127" s="27"/>
      <c r="L127" s="49"/>
      <c r="M127" s="48">
        <v>12085.36</v>
      </c>
      <c r="N127" s="49"/>
      <c r="O127" s="49"/>
      <c r="P127" s="49"/>
      <c r="Q127" s="49"/>
      <c r="R127" s="76">
        <v>11154</v>
      </c>
      <c r="S127" s="95">
        <v>0</v>
      </c>
      <c r="T127" s="76"/>
      <c r="U127" s="395"/>
    </row>
    <row r="128" spans="1:24" ht="15.75" hidden="1" thickBot="1" x14ac:dyDescent="0.3">
      <c r="A128" s="810"/>
      <c r="B128" s="865"/>
      <c r="C128" s="62"/>
      <c r="D128" s="86"/>
      <c r="E128" s="86"/>
      <c r="F128" s="86"/>
      <c r="G128" s="86"/>
      <c r="H128" s="86"/>
      <c r="I128" s="441"/>
      <c r="J128" s="442"/>
      <c r="K128" s="52"/>
      <c r="L128" s="49"/>
      <c r="M128" s="48"/>
      <c r="N128" s="49"/>
      <c r="O128" s="49"/>
      <c r="P128" s="49"/>
      <c r="Q128" s="49"/>
      <c r="R128" s="76"/>
      <c r="S128" s="95">
        <v>0</v>
      </c>
      <c r="T128" s="76"/>
      <c r="U128" s="395"/>
    </row>
    <row r="129" spans="1:21" ht="15.75" hidden="1" thickBot="1" x14ac:dyDescent="0.3">
      <c r="A129" s="810"/>
      <c r="B129" s="865"/>
      <c r="C129" s="62"/>
      <c r="D129" s="86"/>
      <c r="E129" s="86"/>
      <c r="F129" s="86"/>
      <c r="G129" s="86"/>
      <c r="H129" s="86"/>
      <c r="I129" s="441"/>
      <c r="J129" s="442"/>
      <c r="K129" s="52"/>
      <c r="L129" s="27"/>
      <c r="M129" s="26">
        <v>8850</v>
      </c>
      <c r="N129" s="63"/>
      <c r="O129" s="76"/>
      <c r="P129" s="76"/>
      <c r="Q129" s="76"/>
      <c r="R129" s="76"/>
      <c r="S129" s="95">
        <v>0</v>
      </c>
      <c r="T129" s="76"/>
      <c r="U129" s="395"/>
    </row>
    <row r="130" spans="1:21" ht="15.75" hidden="1" thickBot="1" x14ac:dyDescent="0.3">
      <c r="A130" s="810"/>
      <c r="B130" s="865"/>
      <c r="C130" s="65"/>
      <c r="D130" s="86"/>
      <c r="E130" s="86"/>
      <c r="F130" s="86"/>
      <c r="G130" s="86"/>
      <c r="H130" s="86"/>
      <c r="I130" s="441"/>
      <c r="J130" s="442"/>
      <c r="K130" s="52"/>
      <c r="L130" s="93"/>
      <c r="M130" s="92"/>
      <c r="N130" s="93"/>
      <c r="O130" s="93"/>
      <c r="P130" s="93"/>
      <c r="Q130" s="93"/>
      <c r="R130" s="76"/>
      <c r="S130" s="95">
        <v>0</v>
      </c>
      <c r="T130" s="76"/>
      <c r="U130" s="395"/>
    </row>
    <row r="131" spans="1:21" ht="15.75" hidden="1" thickBot="1" x14ac:dyDescent="0.3">
      <c r="A131" s="811"/>
      <c r="B131" s="866"/>
      <c r="C131" s="65"/>
      <c r="D131" s="86"/>
      <c r="E131" s="86"/>
      <c r="F131" s="86"/>
      <c r="G131" s="86"/>
      <c r="H131" s="86"/>
      <c r="I131" s="441"/>
      <c r="J131" s="442"/>
      <c r="K131" s="52"/>
      <c r="L131" s="52"/>
      <c r="M131" s="51"/>
      <c r="N131" s="52"/>
      <c r="O131" s="52"/>
      <c r="P131" s="52"/>
      <c r="Q131" s="52"/>
      <c r="R131" s="63"/>
      <c r="S131" s="131">
        <v>0</v>
      </c>
      <c r="T131" s="63"/>
      <c r="U131" s="421"/>
    </row>
    <row r="132" spans="1:21" ht="15.75" thickBot="1" x14ac:dyDescent="0.3">
      <c r="A132" s="163" t="s">
        <v>270</v>
      </c>
      <c r="B132" s="760" t="s">
        <v>271</v>
      </c>
      <c r="C132" s="761"/>
      <c r="D132" s="609"/>
      <c r="E132" s="609"/>
      <c r="F132" s="609"/>
      <c r="G132" s="609"/>
      <c r="H132" s="609"/>
      <c r="I132" s="260">
        <v>104542</v>
      </c>
      <c r="J132" s="164">
        <v>66000</v>
      </c>
      <c r="K132" s="87">
        <f>K133+K136</f>
        <v>0</v>
      </c>
      <c r="L132" s="89"/>
      <c r="M132" s="89"/>
      <c r="N132" s="89"/>
      <c r="O132" s="89"/>
      <c r="P132" s="89">
        <v>35641.19</v>
      </c>
      <c r="Q132" s="89"/>
      <c r="R132" s="87"/>
      <c r="S132" s="88">
        <v>0</v>
      </c>
      <c r="T132" s="87"/>
      <c r="U132" s="636"/>
    </row>
    <row r="133" spans="1:21" ht="15.75" thickBot="1" x14ac:dyDescent="0.3">
      <c r="A133" s="526"/>
      <c r="B133" s="527"/>
      <c r="C133" s="527"/>
      <c r="D133" s="528"/>
      <c r="E133" s="528"/>
      <c r="F133" s="528"/>
      <c r="G133" s="528"/>
      <c r="H133" s="528"/>
      <c r="I133" s="528"/>
      <c r="J133" s="528"/>
      <c r="K133" s="528"/>
      <c r="L133" s="529"/>
      <c r="M133" s="527"/>
      <c r="N133" s="530"/>
      <c r="O133" s="530"/>
      <c r="P133" s="530"/>
      <c r="Q133" s="527"/>
      <c r="R133" s="527"/>
      <c r="S133" s="531">
        <v>0</v>
      </c>
      <c r="T133" s="527"/>
      <c r="U133" s="709"/>
    </row>
    <row r="134" spans="1:21" ht="15.75" thickBot="1" x14ac:dyDescent="0.3">
      <c r="A134" s="524" t="s">
        <v>276</v>
      </c>
      <c r="B134" s="815" t="s">
        <v>277</v>
      </c>
      <c r="C134" s="773"/>
      <c r="D134" s="528"/>
      <c r="E134" s="528"/>
      <c r="F134" s="528"/>
      <c r="G134" s="528"/>
      <c r="H134" s="528"/>
      <c r="I134" s="528"/>
      <c r="J134" s="528"/>
      <c r="K134" s="528"/>
      <c r="L134" s="335"/>
      <c r="M134" s="420"/>
      <c r="N134" s="528"/>
      <c r="O134" s="528"/>
      <c r="P134" s="527"/>
      <c r="Q134" s="530"/>
      <c r="R134" s="349">
        <v>11560</v>
      </c>
      <c r="S134" s="427">
        <v>0</v>
      </c>
      <c r="T134" s="527"/>
      <c r="U134" s="709"/>
    </row>
    <row r="135" spans="1:21" ht="15.75" thickBot="1" x14ac:dyDescent="0.3">
      <c r="A135" s="526"/>
      <c r="B135" s="528"/>
      <c r="C135" s="419" t="s">
        <v>381</v>
      </c>
      <c r="D135" s="528"/>
      <c r="E135" s="528"/>
      <c r="F135" s="528"/>
      <c r="G135" s="528"/>
      <c r="H135" s="528"/>
      <c r="I135" s="528"/>
      <c r="J135" s="528"/>
      <c r="K135" s="528"/>
      <c r="L135" s="335"/>
      <c r="M135" s="420"/>
      <c r="N135" s="528"/>
      <c r="O135" s="528"/>
      <c r="P135" s="528"/>
      <c r="Q135" s="532"/>
      <c r="R135" s="419">
        <v>11560</v>
      </c>
      <c r="S135" s="334">
        <v>0</v>
      </c>
      <c r="T135" s="419"/>
      <c r="U135" s="710"/>
    </row>
    <row r="136" spans="1:21" ht="15.75" hidden="1" thickBot="1" x14ac:dyDescent="0.3">
      <c r="A136" s="434"/>
      <c r="B136" s="438"/>
      <c r="C136" s="186"/>
      <c r="D136" s="91"/>
      <c r="E136" s="91"/>
      <c r="F136" s="91"/>
      <c r="G136" s="91"/>
      <c r="H136" s="91"/>
      <c r="I136" s="91"/>
      <c r="J136" s="91"/>
      <c r="K136" s="93"/>
      <c r="L136" s="93"/>
      <c r="M136" s="93"/>
      <c r="N136" s="93"/>
      <c r="O136" s="93"/>
      <c r="P136" s="93"/>
      <c r="Q136" s="159"/>
      <c r="R136" s="203"/>
      <c r="S136" s="301">
        <v>0</v>
      </c>
      <c r="T136" s="203"/>
      <c r="U136" s="637"/>
    </row>
    <row r="137" spans="1:21" ht="15.75" thickBot="1" x14ac:dyDescent="0.3">
      <c r="A137" s="533" t="s">
        <v>382</v>
      </c>
      <c r="B137" s="878" t="s">
        <v>279</v>
      </c>
      <c r="C137" s="879"/>
      <c r="D137" s="534"/>
      <c r="E137" s="534"/>
      <c r="F137" s="534"/>
      <c r="G137" s="534"/>
      <c r="H137" s="534"/>
      <c r="I137" s="59">
        <f>I138</f>
        <v>0</v>
      </c>
      <c r="J137" s="59">
        <f>J138</f>
        <v>0</v>
      </c>
      <c r="K137" s="59">
        <f>K138</f>
        <v>0</v>
      </c>
      <c r="L137" s="59">
        <f>L138</f>
        <v>82887.77</v>
      </c>
      <c r="M137" s="129">
        <v>7399.64</v>
      </c>
      <c r="N137" s="535">
        <v>0</v>
      </c>
      <c r="O137" s="535">
        <f>O138</f>
        <v>0</v>
      </c>
      <c r="P137" s="535"/>
      <c r="Q137" s="535">
        <v>13450</v>
      </c>
      <c r="R137" s="535">
        <v>0</v>
      </c>
      <c r="S137" s="58">
        <v>0</v>
      </c>
      <c r="T137" s="535"/>
      <c r="U137" s="711"/>
    </row>
    <row r="138" spans="1:21" ht="15.75" thickBot="1" x14ac:dyDescent="0.3">
      <c r="A138" s="434"/>
      <c r="B138" s="438"/>
      <c r="C138" s="528" t="s">
        <v>383</v>
      </c>
      <c r="D138" s="528"/>
      <c r="E138" s="528"/>
      <c r="F138" s="528"/>
      <c r="G138" s="528"/>
      <c r="H138" s="528"/>
      <c r="I138" s="91"/>
      <c r="J138" s="91"/>
      <c r="K138" s="93"/>
      <c r="L138" s="93">
        <v>82887.77</v>
      </c>
      <c r="M138" s="92">
        <v>7399.64</v>
      </c>
      <c r="N138" s="93"/>
      <c r="O138" s="93"/>
      <c r="P138" s="93"/>
      <c r="Q138" s="93"/>
      <c r="R138" s="203"/>
      <c r="S138" s="301">
        <v>0</v>
      </c>
      <c r="T138" s="203"/>
      <c r="U138" s="637"/>
    </row>
    <row r="139" spans="1:21" ht="17.25" thickTop="1" thickBot="1" x14ac:dyDescent="0.3">
      <c r="A139" s="875" t="s">
        <v>384</v>
      </c>
      <c r="B139" s="876"/>
      <c r="C139" s="876"/>
      <c r="D139" s="139">
        <v>2988050</v>
      </c>
      <c r="E139" s="139">
        <v>1793069</v>
      </c>
      <c r="F139" s="139">
        <v>2942409</v>
      </c>
      <c r="G139" s="139">
        <v>4880528</v>
      </c>
      <c r="H139" s="139">
        <f t="shared" ref="H139:N139" si="5">H116+H99+H107+H95+H72+H68+H60+H58+H51+H30+H12+H9+H4+H114+H132+H137</f>
        <v>5977301</v>
      </c>
      <c r="I139" s="139">
        <f t="shared" si="5"/>
        <v>5818483</v>
      </c>
      <c r="J139" s="139">
        <f t="shared" si="5"/>
        <v>4719096</v>
      </c>
      <c r="K139" s="139">
        <f t="shared" si="5"/>
        <v>3939694</v>
      </c>
      <c r="L139" s="139">
        <f t="shared" si="5"/>
        <v>1800938.79</v>
      </c>
      <c r="M139" s="140">
        <f t="shared" si="5"/>
        <v>2904600.1800000006</v>
      </c>
      <c r="N139" s="139">
        <f t="shared" si="5"/>
        <v>1348818.6500000001</v>
      </c>
      <c r="O139" s="140">
        <f>O116+O99+O107+O95+O72+O68+O60+O58+O51+O30+O12+O9+O4+O114+O132+O137</f>
        <v>1900647.68</v>
      </c>
      <c r="P139" s="139">
        <v>2329182.13</v>
      </c>
      <c r="Q139" s="139">
        <v>5008556</v>
      </c>
      <c r="R139" s="139">
        <v>2565432</v>
      </c>
      <c r="S139" s="140">
        <v>1.3497672540762526</v>
      </c>
      <c r="T139" s="139">
        <v>0</v>
      </c>
      <c r="U139" s="692">
        <v>0</v>
      </c>
    </row>
    <row r="140" spans="1:21" ht="15.75" thickTop="1" x14ac:dyDescent="0.25"/>
    <row r="142" spans="1:21" x14ac:dyDescent="0.25">
      <c r="R142" s="204"/>
      <c r="S142" s="204"/>
      <c r="T142" s="204"/>
      <c r="U142" s="204"/>
    </row>
    <row r="145" spans="17:21" x14ac:dyDescent="0.25">
      <c r="Q145" s="204"/>
      <c r="R145" s="204"/>
      <c r="S145" s="204"/>
      <c r="T145" s="204"/>
      <c r="U145" s="204"/>
    </row>
  </sheetData>
  <mergeCells count="60">
    <mergeCell ref="T2:T3"/>
    <mergeCell ref="U2:U3"/>
    <mergeCell ref="A139:C139"/>
    <mergeCell ref="B116:C116"/>
    <mergeCell ref="A117:A131"/>
    <mergeCell ref="B117:B131"/>
    <mergeCell ref="B132:C132"/>
    <mergeCell ref="B134:C134"/>
    <mergeCell ref="B137:C137"/>
    <mergeCell ref="B68:C68"/>
    <mergeCell ref="B114:C114"/>
    <mergeCell ref="B72:C72"/>
    <mergeCell ref="A73:A92"/>
    <mergeCell ref="B73:B92"/>
    <mergeCell ref="B93:C93"/>
    <mergeCell ref="B95:C95"/>
    <mergeCell ref="B99:C99"/>
    <mergeCell ref="A100:A106"/>
    <mergeCell ref="B100:B106"/>
    <mergeCell ref="B107:C107"/>
    <mergeCell ref="A108:A113"/>
    <mergeCell ref="B108:B113"/>
    <mergeCell ref="A5:A8"/>
    <mergeCell ref="B5:B8"/>
    <mergeCell ref="B9:C9"/>
    <mergeCell ref="B10:B11"/>
    <mergeCell ref="A69:A71"/>
    <mergeCell ref="B69:B71"/>
    <mergeCell ref="A13:A29"/>
    <mergeCell ref="B13:B29"/>
    <mergeCell ref="B30:C30"/>
    <mergeCell ref="A37:A49"/>
    <mergeCell ref="B37:B49"/>
    <mergeCell ref="B51:C51"/>
    <mergeCell ref="B58:C58"/>
    <mergeCell ref="B60:C60"/>
    <mergeCell ref="A61:A67"/>
    <mergeCell ref="B61:B67"/>
    <mergeCell ref="B12:C12"/>
    <mergeCell ref="P2:P3"/>
    <mergeCell ref="Q2:Q3"/>
    <mergeCell ref="R2:R3"/>
    <mergeCell ref="S2:S3"/>
    <mergeCell ref="J2:J3"/>
    <mergeCell ref="K2:K3"/>
    <mergeCell ref="L2:L3"/>
    <mergeCell ref="M2:M3"/>
    <mergeCell ref="N2:N3"/>
    <mergeCell ref="O2:O3"/>
    <mergeCell ref="B4:C4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C24" sqref="C24"/>
    </sheetView>
  </sheetViews>
  <sheetFormatPr defaultRowHeight="15" x14ac:dyDescent="0.25"/>
  <cols>
    <col min="3" max="3" width="36" customWidth="1"/>
    <col min="4" max="10" width="11.7109375" hidden="1" customWidth="1"/>
    <col min="11" max="11" width="10.5703125" hidden="1" customWidth="1"/>
    <col min="12" max="12" width="13.7109375" hidden="1" customWidth="1"/>
    <col min="13" max="15" width="13.5703125" hidden="1" customWidth="1"/>
    <col min="16" max="17" width="13.5703125" customWidth="1"/>
    <col min="18" max="18" width="11.42578125" customWidth="1"/>
    <col min="19" max="19" width="8.42578125" customWidth="1"/>
    <col min="20" max="21" width="11.7109375" customWidth="1"/>
    <col min="259" max="259" width="36" customWidth="1"/>
    <col min="260" max="271" width="0" hidden="1" customWidth="1"/>
    <col min="272" max="273" width="13.5703125" customWidth="1"/>
    <col min="274" max="274" width="11.42578125" customWidth="1"/>
    <col min="275" max="275" width="8.42578125" customWidth="1"/>
    <col min="276" max="277" width="11.7109375" customWidth="1"/>
    <col min="515" max="515" width="36" customWidth="1"/>
    <col min="516" max="527" width="0" hidden="1" customWidth="1"/>
    <col min="528" max="529" width="13.5703125" customWidth="1"/>
    <col min="530" max="530" width="11.42578125" customWidth="1"/>
    <col min="531" max="531" width="8.42578125" customWidth="1"/>
    <col min="532" max="533" width="11.7109375" customWidth="1"/>
    <col min="771" max="771" width="36" customWidth="1"/>
    <col min="772" max="783" width="0" hidden="1" customWidth="1"/>
    <col min="784" max="785" width="13.5703125" customWidth="1"/>
    <col min="786" max="786" width="11.42578125" customWidth="1"/>
    <col min="787" max="787" width="8.42578125" customWidth="1"/>
    <col min="788" max="789" width="11.7109375" customWidth="1"/>
    <col min="1027" max="1027" width="36" customWidth="1"/>
    <col min="1028" max="1039" width="0" hidden="1" customWidth="1"/>
    <col min="1040" max="1041" width="13.5703125" customWidth="1"/>
    <col min="1042" max="1042" width="11.42578125" customWidth="1"/>
    <col min="1043" max="1043" width="8.42578125" customWidth="1"/>
    <col min="1044" max="1045" width="11.7109375" customWidth="1"/>
    <col min="1283" max="1283" width="36" customWidth="1"/>
    <col min="1284" max="1295" width="0" hidden="1" customWidth="1"/>
    <col min="1296" max="1297" width="13.5703125" customWidth="1"/>
    <col min="1298" max="1298" width="11.42578125" customWidth="1"/>
    <col min="1299" max="1299" width="8.42578125" customWidth="1"/>
    <col min="1300" max="1301" width="11.7109375" customWidth="1"/>
    <col min="1539" max="1539" width="36" customWidth="1"/>
    <col min="1540" max="1551" width="0" hidden="1" customWidth="1"/>
    <col min="1552" max="1553" width="13.5703125" customWidth="1"/>
    <col min="1554" max="1554" width="11.42578125" customWidth="1"/>
    <col min="1555" max="1555" width="8.42578125" customWidth="1"/>
    <col min="1556" max="1557" width="11.7109375" customWidth="1"/>
    <col min="1795" max="1795" width="36" customWidth="1"/>
    <col min="1796" max="1807" width="0" hidden="1" customWidth="1"/>
    <col min="1808" max="1809" width="13.5703125" customWidth="1"/>
    <col min="1810" max="1810" width="11.42578125" customWidth="1"/>
    <col min="1811" max="1811" width="8.42578125" customWidth="1"/>
    <col min="1812" max="1813" width="11.7109375" customWidth="1"/>
    <col min="2051" max="2051" width="36" customWidth="1"/>
    <col min="2052" max="2063" width="0" hidden="1" customWidth="1"/>
    <col min="2064" max="2065" width="13.5703125" customWidth="1"/>
    <col min="2066" max="2066" width="11.42578125" customWidth="1"/>
    <col min="2067" max="2067" width="8.42578125" customWidth="1"/>
    <col min="2068" max="2069" width="11.7109375" customWidth="1"/>
    <col min="2307" max="2307" width="36" customWidth="1"/>
    <col min="2308" max="2319" width="0" hidden="1" customWidth="1"/>
    <col min="2320" max="2321" width="13.5703125" customWidth="1"/>
    <col min="2322" max="2322" width="11.42578125" customWidth="1"/>
    <col min="2323" max="2323" width="8.42578125" customWidth="1"/>
    <col min="2324" max="2325" width="11.7109375" customWidth="1"/>
    <col min="2563" max="2563" width="36" customWidth="1"/>
    <col min="2564" max="2575" width="0" hidden="1" customWidth="1"/>
    <col min="2576" max="2577" width="13.5703125" customWidth="1"/>
    <col min="2578" max="2578" width="11.42578125" customWidth="1"/>
    <col min="2579" max="2579" width="8.42578125" customWidth="1"/>
    <col min="2580" max="2581" width="11.7109375" customWidth="1"/>
    <col min="2819" max="2819" width="36" customWidth="1"/>
    <col min="2820" max="2831" width="0" hidden="1" customWidth="1"/>
    <col min="2832" max="2833" width="13.5703125" customWidth="1"/>
    <col min="2834" max="2834" width="11.42578125" customWidth="1"/>
    <col min="2835" max="2835" width="8.42578125" customWidth="1"/>
    <col min="2836" max="2837" width="11.7109375" customWidth="1"/>
    <col min="3075" max="3075" width="36" customWidth="1"/>
    <col min="3076" max="3087" width="0" hidden="1" customWidth="1"/>
    <col min="3088" max="3089" width="13.5703125" customWidth="1"/>
    <col min="3090" max="3090" width="11.42578125" customWidth="1"/>
    <col min="3091" max="3091" width="8.42578125" customWidth="1"/>
    <col min="3092" max="3093" width="11.7109375" customWidth="1"/>
    <col min="3331" max="3331" width="36" customWidth="1"/>
    <col min="3332" max="3343" width="0" hidden="1" customWidth="1"/>
    <col min="3344" max="3345" width="13.5703125" customWidth="1"/>
    <col min="3346" max="3346" width="11.42578125" customWidth="1"/>
    <col min="3347" max="3347" width="8.42578125" customWidth="1"/>
    <col min="3348" max="3349" width="11.7109375" customWidth="1"/>
    <col min="3587" max="3587" width="36" customWidth="1"/>
    <col min="3588" max="3599" width="0" hidden="1" customWidth="1"/>
    <col min="3600" max="3601" width="13.5703125" customWidth="1"/>
    <col min="3602" max="3602" width="11.42578125" customWidth="1"/>
    <col min="3603" max="3603" width="8.42578125" customWidth="1"/>
    <col min="3604" max="3605" width="11.7109375" customWidth="1"/>
    <col min="3843" max="3843" width="36" customWidth="1"/>
    <col min="3844" max="3855" width="0" hidden="1" customWidth="1"/>
    <col min="3856" max="3857" width="13.5703125" customWidth="1"/>
    <col min="3858" max="3858" width="11.42578125" customWidth="1"/>
    <col min="3859" max="3859" width="8.42578125" customWidth="1"/>
    <col min="3860" max="3861" width="11.7109375" customWidth="1"/>
    <col min="4099" max="4099" width="36" customWidth="1"/>
    <col min="4100" max="4111" width="0" hidden="1" customWidth="1"/>
    <col min="4112" max="4113" width="13.5703125" customWidth="1"/>
    <col min="4114" max="4114" width="11.42578125" customWidth="1"/>
    <col min="4115" max="4115" width="8.42578125" customWidth="1"/>
    <col min="4116" max="4117" width="11.7109375" customWidth="1"/>
    <col min="4355" max="4355" width="36" customWidth="1"/>
    <col min="4356" max="4367" width="0" hidden="1" customWidth="1"/>
    <col min="4368" max="4369" width="13.5703125" customWidth="1"/>
    <col min="4370" max="4370" width="11.42578125" customWidth="1"/>
    <col min="4371" max="4371" width="8.42578125" customWidth="1"/>
    <col min="4372" max="4373" width="11.7109375" customWidth="1"/>
    <col min="4611" max="4611" width="36" customWidth="1"/>
    <col min="4612" max="4623" width="0" hidden="1" customWidth="1"/>
    <col min="4624" max="4625" width="13.5703125" customWidth="1"/>
    <col min="4626" max="4626" width="11.42578125" customWidth="1"/>
    <col min="4627" max="4627" width="8.42578125" customWidth="1"/>
    <col min="4628" max="4629" width="11.7109375" customWidth="1"/>
    <col min="4867" max="4867" width="36" customWidth="1"/>
    <col min="4868" max="4879" width="0" hidden="1" customWidth="1"/>
    <col min="4880" max="4881" width="13.5703125" customWidth="1"/>
    <col min="4882" max="4882" width="11.42578125" customWidth="1"/>
    <col min="4883" max="4883" width="8.42578125" customWidth="1"/>
    <col min="4884" max="4885" width="11.7109375" customWidth="1"/>
    <col min="5123" max="5123" width="36" customWidth="1"/>
    <col min="5124" max="5135" width="0" hidden="1" customWidth="1"/>
    <col min="5136" max="5137" width="13.5703125" customWidth="1"/>
    <col min="5138" max="5138" width="11.42578125" customWidth="1"/>
    <col min="5139" max="5139" width="8.42578125" customWidth="1"/>
    <col min="5140" max="5141" width="11.7109375" customWidth="1"/>
    <col min="5379" max="5379" width="36" customWidth="1"/>
    <col min="5380" max="5391" width="0" hidden="1" customWidth="1"/>
    <col min="5392" max="5393" width="13.5703125" customWidth="1"/>
    <col min="5394" max="5394" width="11.42578125" customWidth="1"/>
    <col min="5395" max="5395" width="8.42578125" customWidth="1"/>
    <col min="5396" max="5397" width="11.7109375" customWidth="1"/>
    <col min="5635" max="5635" width="36" customWidth="1"/>
    <col min="5636" max="5647" width="0" hidden="1" customWidth="1"/>
    <col min="5648" max="5649" width="13.5703125" customWidth="1"/>
    <col min="5650" max="5650" width="11.42578125" customWidth="1"/>
    <col min="5651" max="5651" width="8.42578125" customWidth="1"/>
    <col min="5652" max="5653" width="11.7109375" customWidth="1"/>
    <col min="5891" max="5891" width="36" customWidth="1"/>
    <col min="5892" max="5903" width="0" hidden="1" customWidth="1"/>
    <col min="5904" max="5905" width="13.5703125" customWidth="1"/>
    <col min="5906" max="5906" width="11.42578125" customWidth="1"/>
    <col min="5907" max="5907" width="8.42578125" customWidth="1"/>
    <col min="5908" max="5909" width="11.7109375" customWidth="1"/>
    <col min="6147" max="6147" width="36" customWidth="1"/>
    <col min="6148" max="6159" width="0" hidden="1" customWidth="1"/>
    <col min="6160" max="6161" width="13.5703125" customWidth="1"/>
    <col min="6162" max="6162" width="11.42578125" customWidth="1"/>
    <col min="6163" max="6163" width="8.42578125" customWidth="1"/>
    <col min="6164" max="6165" width="11.7109375" customWidth="1"/>
    <col min="6403" max="6403" width="36" customWidth="1"/>
    <col min="6404" max="6415" width="0" hidden="1" customWidth="1"/>
    <col min="6416" max="6417" width="13.5703125" customWidth="1"/>
    <col min="6418" max="6418" width="11.42578125" customWidth="1"/>
    <col min="6419" max="6419" width="8.42578125" customWidth="1"/>
    <col min="6420" max="6421" width="11.7109375" customWidth="1"/>
    <col min="6659" max="6659" width="36" customWidth="1"/>
    <col min="6660" max="6671" width="0" hidden="1" customWidth="1"/>
    <col min="6672" max="6673" width="13.5703125" customWidth="1"/>
    <col min="6674" max="6674" width="11.42578125" customWidth="1"/>
    <col min="6675" max="6675" width="8.42578125" customWidth="1"/>
    <col min="6676" max="6677" width="11.7109375" customWidth="1"/>
    <col min="6915" max="6915" width="36" customWidth="1"/>
    <col min="6916" max="6927" width="0" hidden="1" customWidth="1"/>
    <col min="6928" max="6929" width="13.5703125" customWidth="1"/>
    <col min="6930" max="6930" width="11.42578125" customWidth="1"/>
    <col min="6931" max="6931" width="8.42578125" customWidth="1"/>
    <col min="6932" max="6933" width="11.7109375" customWidth="1"/>
    <col min="7171" max="7171" width="36" customWidth="1"/>
    <col min="7172" max="7183" width="0" hidden="1" customWidth="1"/>
    <col min="7184" max="7185" width="13.5703125" customWidth="1"/>
    <col min="7186" max="7186" width="11.42578125" customWidth="1"/>
    <col min="7187" max="7187" width="8.42578125" customWidth="1"/>
    <col min="7188" max="7189" width="11.7109375" customWidth="1"/>
    <col min="7427" max="7427" width="36" customWidth="1"/>
    <col min="7428" max="7439" width="0" hidden="1" customWidth="1"/>
    <col min="7440" max="7441" width="13.5703125" customWidth="1"/>
    <col min="7442" max="7442" width="11.42578125" customWidth="1"/>
    <col min="7443" max="7443" width="8.42578125" customWidth="1"/>
    <col min="7444" max="7445" width="11.7109375" customWidth="1"/>
    <col min="7683" max="7683" width="36" customWidth="1"/>
    <col min="7684" max="7695" width="0" hidden="1" customWidth="1"/>
    <col min="7696" max="7697" width="13.5703125" customWidth="1"/>
    <col min="7698" max="7698" width="11.42578125" customWidth="1"/>
    <col min="7699" max="7699" width="8.42578125" customWidth="1"/>
    <col min="7700" max="7701" width="11.7109375" customWidth="1"/>
    <col min="7939" max="7939" width="36" customWidth="1"/>
    <col min="7940" max="7951" width="0" hidden="1" customWidth="1"/>
    <col min="7952" max="7953" width="13.5703125" customWidth="1"/>
    <col min="7954" max="7954" width="11.42578125" customWidth="1"/>
    <col min="7955" max="7955" width="8.42578125" customWidth="1"/>
    <col min="7956" max="7957" width="11.7109375" customWidth="1"/>
    <col min="8195" max="8195" width="36" customWidth="1"/>
    <col min="8196" max="8207" width="0" hidden="1" customWidth="1"/>
    <col min="8208" max="8209" width="13.5703125" customWidth="1"/>
    <col min="8210" max="8210" width="11.42578125" customWidth="1"/>
    <col min="8211" max="8211" width="8.42578125" customWidth="1"/>
    <col min="8212" max="8213" width="11.7109375" customWidth="1"/>
    <col min="8451" max="8451" width="36" customWidth="1"/>
    <col min="8452" max="8463" width="0" hidden="1" customWidth="1"/>
    <col min="8464" max="8465" width="13.5703125" customWidth="1"/>
    <col min="8466" max="8466" width="11.42578125" customWidth="1"/>
    <col min="8467" max="8467" width="8.42578125" customWidth="1"/>
    <col min="8468" max="8469" width="11.7109375" customWidth="1"/>
    <col min="8707" max="8707" width="36" customWidth="1"/>
    <col min="8708" max="8719" width="0" hidden="1" customWidth="1"/>
    <col min="8720" max="8721" width="13.5703125" customWidth="1"/>
    <col min="8722" max="8722" width="11.42578125" customWidth="1"/>
    <col min="8723" max="8723" width="8.42578125" customWidth="1"/>
    <col min="8724" max="8725" width="11.7109375" customWidth="1"/>
    <col min="8963" max="8963" width="36" customWidth="1"/>
    <col min="8964" max="8975" width="0" hidden="1" customWidth="1"/>
    <col min="8976" max="8977" width="13.5703125" customWidth="1"/>
    <col min="8978" max="8978" width="11.42578125" customWidth="1"/>
    <col min="8979" max="8979" width="8.42578125" customWidth="1"/>
    <col min="8980" max="8981" width="11.7109375" customWidth="1"/>
    <col min="9219" max="9219" width="36" customWidth="1"/>
    <col min="9220" max="9231" width="0" hidden="1" customWidth="1"/>
    <col min="9232" max="9233" width="13.5703125" customWidth="1"/>
    <col min="9234" max="9234" width="11.42578125" customWidth="1"/>
    <col min="9235" max="9235" width="8.42578125" customWidth="1"/>
    <col min="9236" max="9237" width="11.7109375" customWidth="1"/>
    <col min="9475" max="9475" width="36" customWidth="1"/>
    <col min="9476" max="9487" width="0" hidden="1" customWidth="1"/>
    <col min="9488" max="9489" width="13.5703125" customWidth="1"/>
    <col min="9490" max="9490" width="11.42578125" customWidth="1"/>
    <col min="9491" max="9491" width="8.42578125" customWidth="1"/>
    <col min="9492" max="9493" width="11.7109375" customWidth="1"/>
    <col min="9731" max="9731" width="36" customWidth="1"/>
    <col min="9732" max="9743" width="0" hidden="1" customWidth="1"/>
    <col min="9744" max="9745" width="13.5703125" customWidth="1"/>
    <col min="9746" max="9746" width="11.42578125" customWidth="1"/>
    <col min="9747" max="9747" width="8.42578125" customWidth="1"/>
    <col min="9748" max="9749" width="11.7109375" customWidth="1"/>
    <col min="9987" max="9987" width="36" customWidth="1"/>
    <col min="9988" max="9999" width="0" hidden="1" customWidth="1"/>
    <col min="10000" max="10001" width="13.5703125" customWidth="1"/>
    <col min="10002" max="10002" width="11.42578125" customWidth="1"/>
    <col min="10003" max="10003" width="8.42578125" customWidth="1"/>
    <col min="10004" max="10005" width="11.7109375" customWidth="1"/>
    <col min="10243" max="10243" width="36" customWidth="1"/>
    <col min="10244" max="10255" width="0" hidden="1" customWidth="1"/>
    <col min="10256" max="10257" width="13.5703125" customWidth="1"/>
    <col min="10258" max="10258" width="11.42578125" customWidth="1"/>
    <col min="10259" max="10259" width="8.42578125" customWidth="1"/>
    <col min="10260" max="10261" width="11.7109375" customWidth="1"/>
    <col min="10499" max="10499" width="36" customWidth="1"/>
    <col min="10500" max="10511" width="0" hidden="1" customWidth="1"/>
    <col min="10512" max="10513" width="13.5703125" customWidth="1"/>
    <col min="10514" max="10514" width="11.42578125" customWidth="1"/>
    <col min="10515" max="10515" width="8.42578125" customWidth="1"/>
    <col min="10516" max="10517" width="11.7109375" customWidth="1"/>
    <col min="10755" max="10755" width="36" customWidth="1"/>
    <col min="10756" max="10767" width="0" hidden="1" customWidth="1"/>
    <col min="10768" max="10769" width="13.5703125" customWidth="1"/>
    <col min="10770" max="10770" width="11.42578125" customWidth="1"/>
    <col min="10771" max="10771" width="8.42578125" customWidth="1"/>
    <col min="10772" max="10773" width="11.7109375" customWidth="1"/>
    <col min="11011" max="11011" width="36" customWidth="1"/>
    <col min="11012" max="11023" width="0" hidden="1" customWidth="1"/>
    <col min="11024" max="11025" width="13.5703125" customWidth="1"/>
    <col min="11026" max="11026" width="11.42578125" customWidth="1"/>
    <col min="11027" max="11027" width="8.42578125" customWidth="1"/>
    <col min="11028" max="11029" width="11.7109375" customWidth="1"/>
    <col min="11267" max="11267" width="36" customWidth="1"/>
    <col min="11268" max="11279" width="0" hidden="1" customWidth="1"/>
    <col min="11280" max="11281" width="13.5703125" customWidth="1"/>
    <col min="11282" max="11282" width="11.42578125" customWidth="1"/>
    <col min="11283" max="11283" width="8.42578125" customWidth="1"/>
    <col min="11284" max="11285" width="11.7109375" customWidth="1"/>
    <col min="11523" max="11523" width="36" customWidth="1"/>
    <col min="11524" max="11535" width="0" hidden="1" customWidth="1"/>
    <col min="11536" max="11537" width="13.5703125" customWidth="1"/>
    <col min="11538" max="11538" width="11.42578125" customWidth="1"/>
    <col min="11539" max="11539" width="8.42578125" customWidth="1"/>
    <col min="11540" max="11541" width="11.7109375" customWidth="1"/>
    <col min="11779" max="11779" width="36" customWidth="1"/>
    <col min="11780" max="11791" width="0" hidden="1" customWidth="1"/>
    <col min="11792" max="11793" width="13.5703125" customWidth="1"/>
    <col min="11794" max="11794" width="11.42578125" customWidth="1"/>
    <col min="11795" max="11795" width="8.42578125" customWidth="1"/>
    <col min="11796" max="11797" width="11.7109375" customWidth="1"/>
    <col min="12035" max="12035" width="36" customWidth="1"/>
    <col min="12036" max="12047" width="0" hidden="1" customWidth="1"/>
    <col min="12048" max="12049" width="13.5703125" customWidth="1"/>
    <col min="12050" max="12050" width="11.42578125" customWidth="1"/>
    <col min="12051" max="12051" width="8.42578125" customWidth="1"/>
    <col min="12052" max="12053" width="11.7109375" customWidth="1"/>
    <col min="12291" max="12291" width="36" customWidth="1"/>
    <col min="12292" max="12303" width="0" hidden="1" customWidth="1"/>
    <col min="12304" max="12305" width="13.5703125" customWidth="1"/>
    <col min="12306" max="12306" width="11.42578125" customWidth="1"/>
    <col min="12307" max="12307" width="8.42578125" customWidth="1"/>
    <col min="12308" max="12309" width="11.7109375" customWidth="1"/>
    <col min="12547" max="12547" width="36" customWidth="1"/>
    <col min="12548" max="12559" width="0" hidden="1" customWidth="1"/>
    <col min="12560" max="12561" width="13.5703125" customWidth="1"/>
    <col min="12562" max="12562" width="11.42578125" customWidth="1"/>
    <col min="12563" max="12563" width="8.42578125" customWidth="1"/>
    <col min="12564" max="12565" width="11.7109375" customWidth="1"/>
    <col min="12803" max="12803" width="36" customWidth="1"/>
    <col min="12804" max="12815" width="0" hidden="1" customWidth="1"/>
    <col min="12816" max="12817" width="13.5703125" customWidth="1"/>
    <col min="12818" max="12818" width="11.42578125" customWidth="1"/>
    <col min="12819" max="12819" width="8.42578125" customWidth="1"/>
    <col min="12820" max="12821" width="11.7109375" customWidth="1"/>
    <col min="13059" max="13059" width="36" customWidth="1"/>
    <col min="13060" max="13071" width="0" hidden="1" customWidth="1"/>
    <col min="13072" max="13073" width="13.5703125" customWidth="1"/>
    <col min="13074" max="13074" width="11.42578125" customWidth="1"/>
    <col min="13075" max="13075" width="8.42578125" customWidth="1"/>
    <col min="13076" max="13077" width="11.7109375" customWidth="1"/>
    <col min="13315" max="13315" width="36" customWidth="1"/>
    <col min="13316" max="13327" width="0" hidden="1" customWidth="1"/>
    <col min="13328" max="13329" width="13.5703125" customWidth="1"/>
    <col min="13330" max="13330" width="11.42578125" customWidth="1"/>
    <col min="13331" max="13331" width="8.42578125" customWidth="1"/>
    <col min="13332" max="13333" width="11.7109375" customWidth="1"/>
    <col min="13571" max="13571" width="36" customWidth="1"/>
    <col min="13572" max="13583" width="0" hidden="1" customWidth="1"/>
    <col min="13584" max="13585" width="13.5703125" customWidth="1"/>
    <col min="13586" max="13586" width="11.42578125" customWidth="1"/>
    <col min="13587" max="13587" width="8.42578125" customWidth="1"/>
    <col min="13588" max="13589" width="11.7109375" customWidth="1"/>
    <col min="13827" max="13827" width="36" customWidth="1"/>
    <col min="13828" max="13839" width="0" hidden="1" customWidth="1"/>
    <col min="13840" max="13841" width="13.5703125" customWidth="1"/>
    <col min="13842" max="13842" width="11.42578125" customWidth="1"/>
    <col min="13843" max="13843" width="8.42578125" customWidth="1"/>
    <col min="13844" max="13845" width="11.7109375" customWidth="1"/>
    <col min="14083" max="14083" width="36" customWidth="1"/>
    <col min="14084" max="14095" width="0" hidden="1" customWidth="1"/>
    <col min="14096" max="14097" width="13.5703125" customWidth="1"/>
    <col min="14098" max="14098" width="11.42578125" customWidth="1"/>
    <col min="14099" max="14099" width="8.42578125" customWidth="1"/>
    <col min="14100" max="14101" width="11.7109375" customWidth="1"/>
    <col min="14339" max="14339" width="36" customWidth="1"/>
    <col min="14340" max="14351" width="0" hidden="1" customWidth="1"/>
    <col min="14352" max="14353" width="13.5703125" customWidth="1"/>
    <col min="14354" max="14354" width="11.42578125" customWidth="1"/>
    <col min="14355" max="14355" width="8.42578125" customWidth="1"/>
    <col min="14356" max="14357" width="11.7109375" customWidth="1"/>
    <col min="14595" max="14595" width="36" customWidth="1"/>
    <col min="14596" max="14607" width="0" hidden="1" customWidth="1"/>
    <col min="14608" max="14609" width="13.5703125" customWidth="1"/>
    <col min="14610" max="14610" width="11.42578125" customWidth="1"/>
    <col min="14611" max="14611" width="8.42578125" customWidth="1"/>
    <col min="14612" max="14613" width="11.7109375" customWidth="1"/>
    <col min="14851" max="14851" width="36" customWidth="1"/>
    <col min="14852" max="14863" width="0" hidden="1" customWidth="1"/>
    <col min="14864" max="14865" width="13.5703125" customWidth="1"/>
    <col min="14866" max="14866" width="11.42578125" customWidth="1"/>
    <col min="14867" max="14867" width="8.42578125" customWidth="1"/>
    <col min="14868" max="14869" width="11.7109375" customWidth="1"/>
    <col min="15107" max="15107" width="36" customWidth="1"/>
    <col min="15108" max="15119" width="0" hidden="1" customWidth="1"/>
    <col min="15120" max="15121" width="13.5703125" customWidth="1"/>
    <col min="15122" max="15122" width="11.42578125" customWidth="1"/>
    <col min="15123" max="15123" width="8.42578125" customWidth="1"/>
    <col min="15124" max="15125" width="11.7109375" customWidth="1"/>
    <col min="15363" max="15363" width="36" customWidth="1"/>
    <col min="15364" max="15375" width="0" hidden="1" customWidth="1"/>
    <col min="15376" max="15377" width="13.5703125" customWidth="1"/>
    <col min="15378" max="15378" width="11.42578125" customWidth="1"/>
    <col min="15379" max="15379" width="8.42578125" customWidth="1"/>
    <col min="15380" max="15381" width="11.7109375" customWidth="1"/>
    <col min="15619" max="15619" width="36" customWidth="1"/>
    <col min="15620" max="15631" width="0" hidden="1" customWidth="1"/>
    <col min="15632" max="15633" width="13.5703125" customWidth="1"/>
    <col min="15634" max="15634" width="11.42578125" customWidth="1"/>
    <col min="15635" max="15635" width="8.42578125" customWidth="1"/>
    <col min="15636" max="15637" width="11.7109375" customWidth="1"/>
    <col min="15875" max="15875" width="36" customWidth="1"/>
    <col min="15876" max="15887" width="0" hidden="1" customWidth="1"/>
    <col min="15888" max="15889" width="13.5703125" customWidth="1"/>
    <col min="15890" max="15890" width="11.42578125" customWidth="1"/>
    <col min="15891" max="15891" width="8.42578125" customWidth="1"/>
    <col min="15892" max="15893" width="11.7109375" customWidth="1"/>
    <col min="16131" max="16131" width="36" customWidth="1"/>
    <col min="16132" max="16143" width="0" hidden="1" customWidth="1"/>
    <col min="16144" max="16145" width="13.5703125" customWidth="1"/>
    <col min="16146" max="16146" width="11.42578125" customWidth="1"/>
    <col min="16147" max="16147" width="8.42578125" customWidth="1"/>
    <col min="16148" max="16149" width="11.7109375" customWidth="1"/>
  </cols>
  <sheetData>
    <row r="1" spans="1:24" x14ac:dyDescent="0.25">
      <c r="A1" s="857" t="s">
        <v>442</v>
      </c>
      <c r="B1" s="857"/>
      <c r="C1" s="857"/>
    </row>
    <row r="2" spans="1:24" ht="15.75" thickBot="1" x14ac:dyDescent="0.3">
      <c r="A2" s="834" t="s">
        <v>441</v>
      </c>
      <c r="B2" s="834"/>
      <c r="C2" s="834"/>
    </row>
    <row r="3" spans="1:24" ht="15.75" customHeight="1" thickTop="1" x14ac:dyDescent="0.25">
      <c r="A3" s="747" t="s">
        <v>0</v>
      </c>
      <c r="B3" s="749" t="s">
        <v>1</v>
      </c>
      <c r="C3" s="751" t="s">
        <v>2</v>
      </c>
      <c r="D3" s="751" t="s">
        <v>122</v>
      </c>
      <c r="E3" s="751" t="s">
        <v>123</v>
      </c>
      <c r="F3" s="751" t="s">
        <v>124</v>
      </c>
      <c r="G3" s="751" t="s">
        <v>125</v>
      </c>
      <c r="H3" s="751" t="s">
        <v>126</v>
      </c>
      <c r="I3" s="751" t="s">
        <v>8</v>
      </c>
      <c r="J3" s="751" t="s">
        <v>9</v>
      </c>
      <c r="K3" s="751" t="s">
        <v>10</v>
      </c>
      <c r="L3" s="751" t="s">
        <v>11</v>
      </c>
      <c r="M3" s="751" t="s">
        <v>12</v>
      </c>
      <c r="N3" s="751" t="s">
        <v>13</v>
      </c>
      <c r="O3" s="751" t="s">
        <v>14</v>
      </c>
      <c r="P3" s="751" t="s">
        <v>15</v>
      </c>
      <c r="Q3" s="751" t="s">
        <v>16</v>
      </c>
      <c r="R3" s="753" t="s">
        <v>17</v>
      </c>
      <c r="S3" s="791" t="s">
        <v>18</v>
      </c>
      <c r="T3" s="785" t="s">
        <v>426</v>
      </c>
      <c r="U3" s="787" t="s">
        <v>427</v>
      </c>
    </row>
    <row r="4" spans="1:24" ht="23.25" customHeight="1" thickBot="1" x14ac:dyDescent="0.3">
      <c r="A4" s="748"/>
      <c r="B4" s="750"/>
      <c r="C4" s="752"/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4"/>
      <c r="S4" s="792"/>
      <c r="T4" s="786"/>
      <c r="U4" s="788"/>
    </row>
    <row r="5" spans="1:24" ht="16.5" thickTop="1" thickBot="1" x14ac:dyDescent="0.3">
      <c r="A5" s="605">
        <v>519</v>
      </c>
      <c r="B5" s="885" t="s">
        <v>385</v>
      </c>
      <c r="C5" s="886"/>
      <c r="D5" s="41">
        <f t="shared" ref="D5:M5" si="0">SUM(D6:D7)</f>
        <v>0</v>
      </c>
      <c r="E5" s="41">
        <f t="shared" si="0"/>
        <v>0</v>
      </c>
      <c r="F5" s="41">
        <f t="shared" si="0"/>
        <v>806731</v>
      </c>
      <c r="G5" s="41">
        <f t="shared" si="0"/>
        <v>1932030</v>
      </c>
      <c r="H5" s="41">
        <f t="shared" si="0"/>
        <v>1218758</v>
      </c>
      <c r="I5" s="41">
        <f t="shared" si="0"/>
        <v>1712805</v>
      </c>
      <c r="J5" s="41">
        <f t="shared" si="0"/>
        <v>796126</v>
      </c>
      <c r="K5" s="41">
        <f t="shared" si="0"/>
        <v>889265</v>
      </c>
      <c r="L5" s="42">
        <f t="shared" si="0"/>
        <v>1041848.1</v>
      </c>
      <c r="M5" s="42">
        <f t="shared" si="0"/>
        <v>1842801.75</v>
      </c>
      <c r="N5" s="41">
        <f>SUM(N6:N7)</f>
        <v>1578149.94</v>
      </c>
      <c r="O5" s="42">
        <f>SUM(O6:O7)</f>
        <v>597135.81999999995</v>
      </c>
      <c r="P5" s="41">
        <f>SUM(P6:P7)</f>
        <v>61339.119999999995</v>
      </c>
      <c r="Q5" s="41">
        <f>SUM(Q6:Q7)</f>
        <v>1387460</v>
      </c>
      <c r="R5" s="41">
        <f>SUM(R6:R7)</f>
        <v>984498</v>
      </c>
      <c r="S5" s="42">
        <f t="shared" ref="S5:S17" si="1">IF(N5=0,0,R5/N5)</f>
        <v>0.6238304580868913</v>
      </c>
      <c r="T5" s="41">
        <f>SUM(T6:T7)</f>
        <v>0</v>
      </c>
      <c r="U5" s="628">
        <f>SUM(U6:U7)</f>
        <v>0</v>
      </c>
    </row>
    <row r="6" spans="1:24" x14ac:dyDescent="0.25">
      <c r="A6" s="755"/>
      <c r="B6" s="536"/>
      <c r="C6" s="60" t="s">
        <v>386</v>
      </c>
      <c r="D6" s="60"/>
      <c r="E6" s="60"/>
      <c r="F6" s="60"/>
      <c r="G6" s="60">
        <v>186636</v>
      </c>
      <c r="H6" s="60">
        <v>1102901</v>
      </c>
      <c r="I6" s="60">
        <v>1052724</v>
      </c>
      <c r="J6" s="61">
        <v>232649</v>
      </c>
      <c r="K6" s="61">
        <v>638944</v>
      </c>
      <c r="L6" s="130">
        <v>96973.2</v>
      </c>
      <c r="M6" s="130">
        <v>633655.25</v>
      </c>
      <c r="N6" s="61">
        <v>1495900</v>
      </c>
      <c r="O6" s="130">
        <v>363308.49</v>
      </c>
      <c r="P6" s="130">
        <v>47962.559999999998</v>
      </c>
      <c r="Q6" s="61">
        <v>450000</v>
      </c>
      <c r="R6" s="61">
        <v>240541</v>
      </c>
      <c r="S6" s="130">
        <f t="shared" si="1"/>
        <v>0.16080018717828731</v>
      </c>
      <c r="T6" s="61"/>
      <c r="U6" s="694"/>
    </row>
    <row r="7" spans="1:24" ht="15.75" thickBot="1" x14ac:dyDescent="0.3">
      <c r="A7" s="763"/>
      <c r="B7" s="537"/>
      <c r="C7" s="712" t="s">
        <v>429</v>
      </c>
      <c r="D7" s="64"/>
      <c r="E7" s="64"/>
      <c r="F7" s="64">
        <v>806731</v>
      </c>
      <c r="G7" s="64">
        <v>1745394</v>
      </c>
      <c r="H7" s="64">
        <v>115857</v>
      </c>
      <c r="I7" s="64">
        <v>660081</v>
      </c>
      <c r="J7" s="79">
        <v>563477</v>
      </c>
      <c r="K7" s="223">
        <v>250321</v>
      </c>
      <c r="L7" s="284">
        <v>944874.9</v>
      </c>
      <c r="M7" s="284">
        <v>1209146.5</v>
      </c>
      <c r="N7" s="223">
        <v>82249.94</v>
      </c>
      <c r="O7" s="284">
        <v>233827.33</v>
      </c>
      <c r="P7" s="284">
        <v>13376.56</v>
      </c>
      <c r="Q7" s="223">
        <v>937460</v>
      </c>
      <c r="R7" s="79">
        <f>'[1]Zdroje krytia'!J26</f>
        <v>743957</v>
      </c>
      <c r="S7" s="224">
        <f t="shared" si="1"/>
        <v>9.0450765070466925</v>
      </c>
      <c r="T7" s="79"/>
      <c r="U7" s="713"/>
      <c r="X7" s="204"/>
    </row>
    <row r="8" spans="1:24" ht="15.75" thickBot="1" x14ac:dyDescent="0.3">
      <c r="A8" s="606">
        <v>450</v>
      </c>
      <c r="B8" s="887" t="s">
        <v>75</v>
      </c>
      <c r="C8" s="831"/>
      <c r="D8" s="83">
        <f>SUM(D9:D16)</f>
        <v>499436</v>
      </c>
      <c r="E8" s="83">
        <v>313085</v>
      </c>
      <c r="F8" s="83">
        <v>834018</v>
      </c>
      <c r="G8" s="83">
        <f t="shared" ref="G8:M8" si="2">SUM(G9:G16)</f>
        <v>822908</v>
      </c>
      <c r="H8" s="83">
        <f t="shared" si="2"/>
        <v>3260676</v>
      </c>
      <c r="I8" s="83">
        <f t="shared" si="2"/>
        <v>553863</v>
      </c>
      <c r="J8" s="83">
        <f t="shared" si="2"/>
        <v>509280</v>
      </c>
      <c r="K8" s="83">
        <f t="shared" si="2"/>
        <v>620269</v>
      </c>
      <c r="L8" s="84">
        <f t="shared" si="2"/>
        <v>259121.03000000003</v>
      </c>
      <c r="M8" s="84">
        <f t="shared" si="2"/>
        <v>923759.61</v>
      </c>
      <c r="N8" s="83">
        <f>SUM(N9:N16)</f>
        <v>913983.99</v>
      </c>
      <c r="O8" s="84">
        <f>SUM(O9:O16)</f>
        <v>670041.30000000005</v>
      </c>
      <c r="P8" s="83">
        <f>SUM(P9:P16)</f>
        <v>1328239.53</v>
      </c>
      <c r="Q8" s="83">
        <f>SUM(Q9:Q16)</f>
        <v>1516903</v>
      </c>
      <c r="R8" s="83">
        <f>SUM(R9:R16)</f>
        <v>1419261</v>
      </c>
      <c r="S8" s="84">
        <f t="shared" si="1"/>
        <v>1.5528291693599579</v>
      </c>
      <c r="T8" s="83">
        <f>SUM(T9:T16)</f>
        <v>0</v>
      </c>
      <c r="U8" s="634">
        <f>SUM(U9:U16)</f>
        <v>0</v>
      </c>
    </row>
    <row r="9" spans="1:24" x14ac:dyDescent="0.25">
      <c r="A9" s="755"/>
      <c r="B9" s="536"/>
      <c r="C9" s="538" t="s">
        <v>387</v>
      </c>
      <c r="D9" s="538">
        <v>190367</v>
      </c>
      <c r="E9" s="538"/>
      <c r="F9" s="538"/>
      <c r="G9" s="61">
        <f>265551+398</f>
        <v>265949</v>
      </c>
      <c r="H9" s="538">
        <v>1534133</v>
      </c>
      <c r="I9" s="538">
        <v>43800</v>
      </c>
      <c r="J9" s="539"/>
      <c r="K9" s="201">
        <v>9775</v>
      </c>
      <c r="L9" s="540">
        <v>16185.64</v>
      </c>
      <c r="M9" s="540"/>
      <c r="N9" s="201">
        <v>191699.89</v>
      </c>
      <c r="O9" s="540"/>
      <c r="P9" s="540">
        <v>0</v>
      </c>
      <c r="Q9" s="201">
        <v>45000</v>
      </c>
      <c r="R9" s="61"/>
      <c r="S9" s="130">
        <f t="shared" si="1"/>
        <v>0</v>
      </c>
      <c r="T9" s="61"/>
      <c r="U9" s="694"/>
    </row>
    <row r="10" spans="1:24" x14ac:dyDescent="0.25">
      <c r="A10" s="756"/>
      <c r="B10" s="541"/>
      <c r="C10" s="542" t="s">
        <v>388</v>
      </c>
      <c r="D10" s="542"/>
      <c r="E10" s="542"/>
      <c r="F10" s="542"/>
      <c r="G10" s="76"/>
      <c r="H10" s="542">
        <v>921499</v>
      </c>
      <c r="I10" s="542">
        <v>220604</v>
      </c>
      <c r="J10" s="543">
        <v>192501</v>
      </c>
      <c r="K10" s="544">
        <v>494</v>
      </c>
      <c r="L10" s="275">
        <v>208144.39</v>
      </c>
      <c r="M10" s="275">
        <v>907789.61</v>
      </c>
      <c r="N10" s="544">
        <v>686557.48</v>
      </c>
      <c r="O10" s="275">
        <v>142213.04</v>
      </c>
      <c r="P10" s="275">
        <v>663985.27</v>
      </c>
      <c r="Q10" s="544">
        <v>1095877</v>
      </c>
      <c r="R10" s="76">
        <f>'[1]Zdroje krytia'!G26</f>
        <v>1276957</v>
      </c>
      <c r="S10" s="95">
        <f t="shared" si="1"/>
        <v>1.8599418653191282</v>
      </c>
      <c r="T10" s="76"/>
      <c r="U10" s="395"/>
    </row>
    <row r="11" spans="1:24" x14ac:dyDescent="0.25">
      <c r="A11" s="756"/>
      <c r="B11" s="541"/>
      <c r="C11" s="542" t="s">
        <v>389</v>
      </c>
      <c r="D11" s="542"/>
      <c r="E11" s="542"/>
      <c r="F11" s="542"/>
      <c r="G11" s="76">
        <v>545044</v>
      </c>
      <c r="H11" s="542">
        <v>545044</v>
      </c>
      <c r="I11" s="542"/>
      <c r="J11" s="543"/>
      <c r="K11" s="544"/>
      <c r="L11" s="275"/>
      <c r="M11" s="275">
        <v>12870</v>
      </c>
      <c r="N11" s="544">
        <v>1275.2</v>
      </c>
      <c r="O11" s="275">
        <v>132643.71</v>
      </c>
      <c r="P11" s="275">
        <v>34091.29</v>
      </c>
      <c r="Q11" s="544">
        <v>0</v>
      </c>
      <c r="R11" s="76"/>
      <c r="S11" s="95">
        <f t="shared" si="1"/>
        <v>0</v>
      </c>
      <c r="T11" s="76"/>
      <c r="U11" s="395"/>
    </row>
    <row r="12" spans="1:24" x14ac:dyDescent="0.25">
      <c r="A12" s="756"/>
      <c r="B12" s="541"/>
      <c r="C12" s="542" t="s">
        <v>390</v>
      </c>
      <c r="D12" s="542"/>
      <c r="E12" s="542"/>
      <c r="F12" s="542"/>
      <c r="G12" s="76"/>
      <c r="H12" s="542"/>
      <c r="I12" s="542"/>
      <c r="J12" s="543"/>
      <c r="K12" s="544"/>
      <c r="L12" s="275"/>
      <c r="M12" s="275"/>
      <c r="N12" s="544">
        <v>34451.42</v>
      </c>
      <c r="O12" s="275"/>
      <c r="P12" s="275">
        <v>38214.900000000009</v>
      </c>
      <c r="Q12" s="544">
        <v>0</v>
      </c>
      <c r="R12" s="76"/>
      <c r="S12" s="95"/>
      <c r="T12" s="76"/>
      <c r="U12" s="395"/>
    </row>
    <row r="13" spans="1:24" x14ac:dyDescent="0.25">
      <c r="A13" s="756"/>
      <c r="B13" s="541"/>
      <c r="C13" s="542" t="s">
        <v>391</v>
      </c>
      <c r="D13" s="542">
        <v>309069</v>
      </c>
      <c r="E13" s="542"/>
      <c r="F13" s="542"/>
      <c r="G13" s="76"/>
      <c r="H13" s="542">
        <v>260000</v>
      </c>
      <c r="I13" s="542">
        <v>277803</v>
      </c>
      <c r="J13" s="543">
        <v>316779</v>
      </c>
      <c r="K13" s="544">
        <v>610000</v>
      </c>
      <c r="L13" s="275">
        <v>34791</v>
      </c>
      <c r="M13" s="275">
        <v>3100</v>
      </c>
      <c r="N13" s="544"/>
      <c r="O13" s="275">
        <v>365184.55000000005</v>
      </c>
      <c r="P13" s="275">
        <v>591948.06999999995</v>
      </c>
      <c r="Q13" s="544">
        <v>341026</v>
      </c>
      <c r="R13" s="76">
        <f>'[1]Zdroje krytia'!H26</f>
        <v>142304</v>
      </c>
      <c r="S13" s="95">
        <f t="shared" si="1"/>
        <v>0</v>
      </c>
      <c r="T13" s="76"/>
      <c r="U13" s="395"/>
    </row>
    <row r="14" spans="1:24" x14ac:dyDescent="0.25">
      <c r="A14" s="756"/>
      <c r="B14" s="541"/>
      <c r="C14" s="542" t="s">
        <v>392</v>
      </c>
      <c r="D14" s="542"/>
      <c r="E14" s="542"/>
      <c r="F14" s="542"/>
      <c r="G14" s="542">
        <v>11915</v>
      </c>
      <c r="H14" s="542"/>
      <c r="I14" s="542">
        <v>11656</v>
      </c>
      <c r="J14" s="543"/>
      <c r="K14" s="76"/>
      <c r="L14" s="95"/>
      <c r="M14" s="95">
        <v>0</v>
      </c>
      <c r="N14" s="76"/>
      <c r="O14" s="95">
        <v>30000</v>
      </c>
      <c r="P14" s="95">
        <v>0</v>
      </c>
      <c r="Q14" s="76">
        <v>35000</v>
      </c>
      <c r="R14" s="76"/>
      <c r="S14" s="95">
        <f t="shared" si="1"/>
        <v>0</v>
      </c>
      <c r="T14" s="76"/>
      <c r="U14" s="395"/>
    </row>
    <row r="15" spans="1:24" x14ac:dyDescent="0.25">
      <c r="A15" s="756"/>
      <c r="B15" s="545"/>
      <c r="C15" s="546"/>
      <c r="D15" s="546"/>
      <c r="E15" s="546"/>
      <c r="F15" s="546"/>
      <c r="G15" s="546"/>
      <c r="H15" s="546"/>
      <c r="I15" s="546"/>
      <c r="J15" s="546"/>
      <c r="K15" s="63"/>
      <c r="L15" s="131"/>
      <c r="M15" s="131"/>
      <c r="N15" s="63"/>
      <c r="O15" s="131"/>
      <c r="P15" s="131">
        <v>0</v>
      </c>
      <c r="Q15" s="63"/>
      <c r="R15" s="63"/>
      <c r="S15" s="131">
        <f t="shared" si="1"/>
        <v>0</v>
      </c>
      <c r="T15" s="63"/>
      <c r="U15" s="421"/>
    </row>
    <row r="16" spans="1:24" ht="15.75" thickBot="1" x14ac:dyDescent="0.3">
      <c r="A16" s="888"/>
      <c r="B16" s="545"/>
      <c r="C16" s="546"/>
      <c r="D16" s="546"/>
      <c r="E16" s="546"/>
      <c r="F16" s="546"/>
      <c r="G16" s="546"/>
      <c r="H16" s="546"/>
      <c r="I16" s="546"/>
      <c r="J16" s="546"/>
      <c r="K16" s="63"/>
      <c r="L16" s="131"/>
      <c r="M16" s="131"/>
      <c r="N16" s="63"/>
      <c r="O16" s="131"/>
      <c r="P16" s="131">
        <v>0</v>
      </c>
      <c r="Q16" s="63"/>
      <c r="R16" s="63"/>
      <c r="S16" s="131">
        <f t="shared" si="1"/>
        <v>0</v>
      </c>
      <c r="T16" s="63"/>
      <c r="U16" s="421"/>
    </row>
    <row r="17" spans="1:21" ht="16.5" thickTop="1" thickBot="1" x14ac:dyDescent="0.3">
      <c r="A17" s="881" t="s">
        <v>393</v>
      </c>
      <c r="B17" s="882"/>
      <c r="C17" s="883"/>
      <c r="D17" s="547">
        <f t="shared" ref="D17:M17" si="3">D8+D5</f>
        <v>499436</v>
      </c>
      <c r="E17" s="547">
        <f t="shared" si="3"/>
        <v>313085</v>
      </c>
      <c r="F17" s="547">
        <f t="shared" si="3"/>
        <v>1640749</v>
      </c>
      <c r="G17" s="547">
        <f t="shared" si="3"/>
        <v>2754938</v>
      </c>
      <c r="H17" s="547">
        <f t="shared" si="3"/>
        <v>4479434</v>
      </c>
      <c r="I17" s="547">
        <f t="shared" si="3"/>
        <v>2266668</v>
      </c>
      <c r="J17" s="547">
        <f t="shared" si="3"/>
        <v>1305406</v>
      </c>
      <c r="K17" s="547">
        <f t="shared" si="3"/>
        <v>1509534</v>
      </c>
      <c r="L17" s="548">
        <f t="shared" si="3"/>
        <v>1300969.1299999999</v>
      </c>
      <c r="M17" s="548">
        <f t="shared" si="3"/>
        <v>2766561.36</v>
      </c>
      <c r="N17" s="547">
        <f>N8+N5</f>
        <v>2492133.9299999997</v>
      </c>
      <c r="O17" s="548">
        <f>O8+O5</f>
        <v>1267177.1200000001</v>
      </c>
      <c r="P17" s="547">
        <f>P8+P5</f>
        <v>1389578.65</v>
      </c>
      <c r="Q17" s="547">
        <f>Q8+Q5</f>
        <v>2904363</v>
      </c>
      <c r="R17" s="547">
        <f>R8+R5</f>
        <v>2403759</v>
      </c>
      <c r="S17" s="548">
        <f t="shared" si="1"/>
        <v>0.96453845078863809</v>
      </c>
      <c r="T17" s="547">
        <f>T8+T5</f>
        <v>0</v>
      </c>
      <c r="U17" s="714">
        <f>U8+U5</f>
        <v>0</v>
      </c>
    </row>
    <row r="18" spans="1:21" ht="15.75" thickTop="1" x14ac:dyDescent="0.25">
      <c r="A18" s="884"/>
      <c r="B18" s="884"/>
      <c r="C18" s="884"/>
      <c r="D18" s="884"/>
      <c r="E18" s="884"/>
      <c r="F18" s="884"/>
      <c r="G18" s="884"/>
      <c r="H18" s="884"/>
      <c r="I18" s="884"/>
      <c r="J18" s="884"/>
      <c r="K18" s="549"/>
      <c r="L18" s="549"/>
      <c r="M18" s="549"/>
      <c r="N18" s="549"/>
      <c r="O18" s="549"/>
      <c r="P18" s="549"/>
      <c r="Q18" s="549"/>
      <c r="R18" s="550"/>
      <c r="S18" s="550"/>
    </row>
  </sheetData>
  <mergeCells count="29">
    <mergeCell ref="A1:C1"/>
    <mergeCell ref="A2:C2"/>
    <mergeCell ref="T3:T4"/>
    <mergeCell ref="U3:U4"/>
    <mergeCell ref="A9:A16"/>
    <mergeCell ref="K3:K4"/>
    <mergeCell ref="L3:L4"/>
    <mergeCell ref="F3:F4"/>
    <mergeCell ref="A3:A4"/>
    <mergeCell ref="B3:B4"/>
    <mergeCell ref="C3:C4"/>
    <mergeCell ref="D3:D4"/>
    <mergeCell ref="E3:E4"/>
    <mergeCell ref="A17:C17"/>
    <mergeCell ref="A18:J18"/>
    <mergeCell ref="S3:S4"/>
    <mergeCell ref="B5:C5"/>
    <mergeCell ref="A6:A7"/>
    <mergeCell ref="B8:C8"/>
    <mergeCell ref="M3:M4"/>
    <mergeCell ref="N3:N4"/>
    <mergeCell ref="O3:O4"/>
    <mergeCell ref="P3:P4"/>
    <mergeCell ref="Q3:Q4"/>
    <mergeCell ref="R3:R4"/>
    <mergeCell ref="G3:G4"/>
    <mergeCell ref="H3:H4"/>
    <mergeCell ref="I3:I4"/>
    <mergeCell ref="J3:J4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4"/>
  <sheetViews>
    <sheetView workbookViewId="0">
      <selection activeCell="AA8" sqref="AA8"/>
    </sheetView>
  </sheetViews>
  <sheetFormatPr defaultRowHeight="15" x14ac:dyDescent="0.25"/>
  <cols>
    <col min="2" max="2" width="10.28515625" customWidth="1"/>
    <col min="3" max="3" width="36.85546875" customWidth="1"/>
    <col min="4" max="10" width="9.140625" hidden="1" customWidth="1"/>
    <col min="11" max="11" width="0" hidden="1" customWidth="1"/>
    <col min="12" max="15" width="11.7109375" hidden="1" customWidth="1"/>
    <col min="16" max="17" width="11.7109375" customWidth="1"/>
    <col min="18" max="18" width="12.140625" customWidth="1"/>
    <col min="19" max="19" width="7.28515625" customWidth="1"/>
    <col min="23" max="23" width="10.140625" bestFit="1" customWidth="1"/>
    <col min="258" max="258" width="10.28515625" customWidth="1"/>
    <col min="259" max="259" width="36.85546875" customWidth="1"/>
    <col min="260" max="271" width="0" hidden="1" customWidth="1"/>
    <col min="272" max="273" width="11.7109375" customWidth="1"/>
    <col min="274" max="274" width="12.140625" customWidth="1"/>
    <col min="275" max="275" width="7.28515625" customWidth="1"/>
    <col min="279" max="279" width="10.140625" bestFit="1" customWidth="1"/>
    <col min="514" max="514" width="10.28515625" customWidth="1"/>
    <col min="515" max="515" width="36.85546875" customWidth="1"/>
    <col min="516" max="527" width="0" hidden="1" customWidth="1"/>
    <col min="528" max="529" width="11.7109375" customWidth="1"/>
    <col min="530" max="530" width="12.140625" customWidth="1"/>
    <col min="531" max="531" width="7.28515625" customWidth="1"/>
    <col min="535" max="535" width="10.140625" bestFit="1" customWidth="1"/>
    <col min="770" max="770" width="10.28515625" customWidth="1"/>
    <col min="771" max="771" width="36.85546875" customWidth="1"/>
    <col min="772" max="783" width="0" hidden="1" customWidth="1"/>
    <col min="784" max="785" width="11.7109375" customWidth="1"/>
    <col min="786" max="786" width="12.140625" customWidth="1"/>
    <col min="787" max="787" width="7.28515625" customWidth="1"/>
    <col min="791" max="791" width="10.140625" bestFit="1" customWidth="1"/>
    <col min="1026" max="1026" width="10.28515625" customWidth="1"/>
    <col min="1027" max="1027" width="36.85546875" customWidth="1"/>
    <col min="1028" max="1039" width="0" hidden="1" customWidth="1"/>
    <col min="1040" max="1041" width="11.7109375" customWidth="1"/>
    <col min="1042" max="1042" width="12.140625" customWidth="1"/>
    <col min="1043" max="1043" width="7.28515625" customWidth="1"/>
    <col min="1047" max="1047" width="10.140625" bestFit="1" customWidth="1"/>
    <col min="1282" max="1282" width="10.28515625" customWidth="1"/>
    <col min="1283" max="1283" width="36.85546875" customWidth="1"/>
    <col min="1284" max="1295" width="0" hidden="1" customWidth="1"/>
    <col min="1296" max="1297" width="11.7109375" customWidth="1"/>
    <col min="1298" max="1298" width="12.140625" customWidth="1"/>
    <col min="1299" max="1299" width="7.28515625" customWidth="1"/>
    <col min="1303" max="1303" width="10.140625" bestFit="1" customWidth="1"/>
    <col min="1538" max="1538" width="10.28515625" customWidth="1"/>
    <col min="1539" max="1539" width="36.85546875" customWidth="1"/>
    <col min="1540" max="1551" width="0" hidden="1" customWidth="1"/>
    <col min="1552" max="1553" width="11.7109375" customWidth="1"/>
    <col min="1554" max="1554" width="12.140625" customWidth="1"/>
    <col min="1555" max="1555" width="7.28515625" customWidth="1"/>
    <col min="1559" max="1559" width="10.140625" bestFit="1" customWidth="1"/>
    <col min="1794" max="1794" width="10.28515625" customWidth="1"/>
    <col min="1795" max="1795" width="36.85546875" customWidth="1"/>
    <col min="1796" max="1807" width="0" hidden="1" customWidth="1"/>
    <col min="1808" max="1809" width="11.7109375" customWidth="1"/>
    <col min="1810" max="1810" width="12.140625" customWidth="1"/>
    <col min="1811" max="1811" width="7.28515625" customWidth="1"/>
    <col min="1815" max="1815" width="10.140625" bestFit="1" customWidth="1"/>
    <col min="2050" max="2050" width="10.28515625" customWidth="1"/>
    <col min="2051" max="2051" width="36.85546875" customWidth="1"/>
    <col min="2052" max="2063" width="0" hidden="1" customWidth="1"/>
    <col min="2064" max="2065" width="11.7109375" customWidth="1"/>
    <col min="2066" max="2066" width="12.140625" customWidth="1"/>
    <col min="2067" max="2067" width="7.28515625" customWidth="1"/>
    <col min="2071" max="2071" width="10.140625" bestFit="1" customWidth="1"/>
    <col min="2306" max="2306" width="10.28515625" customWidth="1"/>
    <col min="2307" max="2307" width="36.85546875" customWidth="1"/>
    <col min="2308" max="2319" width="0" hidden="1" customWidth="1"/>
    <col min="2320" max="2321" width="11.7109375" customWidth="1"/>
    <col min="2322" max="2322" width="12.140625" customWidth="1"/>
    <col min="2323" max="2323" width="7.28515625" customWidth="1"/>
    <col min="2327" max="2327" width="10.140625" bestFit="1" customWidth="1"/>
    <col min="2562" max="2562" width="10.28515625" customWidth="1"/>
    <col min="2563" max="2563" width="36.85546875" customWidth="1"/>
    <col min="2564" max="2575" width="0" hidden="1" customWidth="1"/>
    <col min="2576" max="2577" width="11.7109375" customWidth="1"/>
    <col min="2578" max="2578" width="12.140625" customWidth="1"/>
    <col min="2579" max="2579" width="7.28515625" customWidth="1"/>
    <col min="2583" max="2583" width="10.140625" bestFit="1" customWidth="1"/>
    <col min="2818" max="2818" width="10.28515625" customWidth="1"/>
    <col min="2819" max="2819" width="36.85546875" customWidth="1"/>
    <col min="2820" max="2831" width="0" hidden="1" customWidth="1"/>
    <col min="2832" max="2833" width="11.7109375" customWidth="1"/>
    <col min="2834" max="2834" width="12.140625" customWidth="1"/>
    <col min="2835" max="2835" width="7.28515625" customWidth="1"/>
    <col min="2839" max="2839" width="10.140625" bestFit="1" customWidth="1"/>
    <col min="3074" max="3074" width="10.28515625" customWidth="1"/>
    <col min="3075" max="3075" width="36.85546875" customWidth="1"/>
    <col min="3076" max="3087" width="0" hidden="1" customWidth="1"/>
    <col min="3088" max="3089" width="11.7109375" customWidth="1"/>
    <col min="3090" max="3090" width="12.140625" customWidth="1"/>
    <col min="3091" max="3091" width="7.28515625" customWidth="1"/>
    <col min="3095" max="3095" width="10.140625" bestFit="1" customWidth="1"/>
    <col min="3330" max="3330" width="10.28515625" customWidth="1"/>
    <col min="3331" max="3331" width="36.85546875" customWidth="1"/>
    <col min="3332" max="3343" width="0" hidden="1" customWidth="1"/>
    <col min="3344" max="3345" width="11.7109375" customWidth="1"/>
    <col min="3346" max="3346" width="12.140625" customWidth="1"/>
    <col min="3347" max="3347" width="7.28515625" customWidth="1"/>
    <col min="3351" max="3351" width="10.140625" bestFit="1" customWidth="1"/>
    <col min="3586" max="3586" width="10.28515625" customWidth="1"/>
    <col min="3587" max="3587" width="36.85546875" customWidth="1"/>
    <col min="3588" max="3599" width="0" hidden="1" customWidth="1"/>
    <col min="3600" max="3601" width="11.7109375" customWidth="1"/>
    <col min="3602" max="3602" width="12.140625" customWidth="1"/>
    <col min="3603" max="3603" width="7.28515625" customWidth="1"/>
    <col min="3607" max="3607" width="10.140625" bestFit="1" customWidth="1"/>
    <col min="3842" max="3842" width="10.28515625" customWidth="1"/>
    <col min="3843" max="3843" width="36.85546875" customWidth="1"/>
    <col min="3844" max="3855" width="0" hidden="1" customWidth="1"/>
    <col min="3856" max="3857" width="11.7109375" customWidth="1"/>
    <col min="3858" max="3858" width="12.140625" customWidth="1"/>
    <col min="3859" max="3859" width="7.28515625" customWidth="1"/>
    <col min="3863" max="3863" width="10.140625" bestFit="1" customWidth="1"/>
    <col min="4098" max="4098" width="10.28515625" customWidth="1"/>
    <col min="4099" max="4099" width="36.85546875" customWidth="1"/>
    <col min="4100" max="4111" width="0" hidden="1" customWidth="1"/>
    <col min="4112" max="4113" width="11.7109375" customWidth="1"/>
    <col min="4114" max="4114" width="12.140625" customWidth="1"/>
    <col min="4115" max="4115" width="7.28515625" customWidth="1"/>
    <col min="4119" max="4119" width="10.140625" bestFit="1" customWidth="1"/>
    <col min="4354" max="4354" width="10.28515625" customWidth="1"/>
    <col min="4355" max="4355" width="36.85546875" customWidth="1"/>
    <col min="4356" max="4367" width="0" hidden="1" customWidth="1"/>
    <col min="4368" max="4369" width="11.7109375" customWidth="1"/>
    <col min="4370" max="4370" width="12.140625" customWidth="1"/>
    <col min="4371" max="4371" width="7.28515625" customWidth="1"/>
    <col min="4375" max="4375" width="10.140625" bestFit="1" customWidth="1"/>
    <col min="4610" max="4610" width="10.28515625" customWidth="1"/>
    <col min="4611" max="4611" width="36.85546875" customWidth="1"/>
    <col min="4612" max="4623" width="0" hidden="1" customWidth="1"/>
    <col min="4624" max="4625" width="11.7109375" customWidth="1"/>
    <col min="4626" max="4626" width="12.140625" customWidth="1"/>
    <col min="4627" max="4627" width="7.28515625" customWidth="1"/>
    <col min="4631" max="4631" width="10.140625" bestFit="1" customWidth="1"/>
    <col min="4866" max="4866" width="10.28515625" customWidth="1"/>
    <col min="4867" max="4867" width="36.85546875" customWidth="1"/>
    <col min="4868" max="4879" width="0" hidden="1" customWidth="1"/>
    <col min="4880" max="4881" width="11.7109375" customWidth="1"/>
    <col min="4882" max="4882" width="12.140625" customWidth="1"/>
    <col min="4883" max="4883" width="7.28515625" customWidth="1"/>
    <col min="4887" max="4887" width="10.140625" bestFit="1" customWidth="1"/>
    <col min="5122" max="5122" width="10.28515625" customWidth="1"/>
    <col min="5123" max="5123" width="36.85546875" customWidth="1"/>
    <col min="5124" max="5135" width="0" hidden="1" customWidth="1"/>
    <col min="5136" max="5137" width="11.7109375" customWidth="1"/>
    <col min="5138" max="5138" width="12.140625" customWidth="1"/>
    <col min="5139" max="5139" width="7.28515625" customWidth="1"/>
    <col min="5143" max="5143" width="10.140625" bestFit="1" customWidth="1"/>
    <col min="5378" max="5378" width="10.28515625" customWidth="1"/>
    <col min="5379" max="5379" width="36.85546875" customWidth="1"/>
    <col min="5380" max="5391" width="0" hidden="1" customWidth="1"/>
    <col min="5392" max="5393" width="11.7109375" customWidth="1"/>
    <col min="5394" max="5394" width="12.140625" customWidth="1"/>
    <col min="5395" max="5395" width="7.28515625" customWidth="1"/>
    <col min="5399" max="5399" width="10.140625" bestFit="1" customWidth="1"/>
    <col min="5634" max="5634" width="10.28515625" customWidth="1"/>
    <col min="5635" max="5635" width="36.85546875" customWidth="1"/>
    <col min="5636" max="5647" width="0" hidden="1" customWidth="1"/>
    <col min="5648" max="5649" width="11.7109375" customWidth="1"/>
    <col min="5650" max="5650" width="12.140625" customWidth="1"/>
    <col min="5651" max="5651" width="7.28515625" customWidth="1"/>
    <col min="5655" max="5655" width="10.140625" bestFit="1" customWidth="1"/>
    <col min="5890" max="5890" width="10.28515625" customWidth="1"/>
    <col min="5891" max="5891" width="36.85546875" customWidth="1"/>
    <col min="5892" max="5903" width="0" hidden="1" customWidth="1"/>
    <col min="5904" max="5905" width="11.7109375" customWidth="1"/>
    <col min="5906" max="5906" width="12.140625" customWidth="1"/>
    <col min="5907" max="5907" width="7.28515625" customWidth="1"/>
    <col min="5911" max="5911" width="10.140625" bestFit="1" customWidth="1"/>
    <col min="6146" max="6146" width="10.28515625" customWidth="1"/>
    <col min="6147" max="6147" width="36.85546875" customWidth="1"/>
    <col min="6148" max="6159" width="0" hidden="1" customWidth="1"/>
    <col min="6160" max="6161" width="11.7109375" customWidth="1"/>
    <col min="6162" max="6162" width="12.140625" customWidth="1"/>
    <col min="6163" max="6163" width="7.28515625" customWidth="1"/>
    <col min="6167" max="6167" width="10.140625" bestFit="1" customWidth="1"/>
    <col min="6402" max="6402" width="10.28515625" customWidth="1"/>
    <col min="6403" max="6403" width="36.85546875" customWidth="1"/>
    <col min="6404" max="6415" width="0" hidden="1" customWidth="1"/>
    <col min="6416" max="6417" width="11.7109375" customWidth="1"/>
    <col min="6418" max="6418" width="12.140625" customWidth="1"/>
    <col min="6419" max="6419" width="7.28515625" customWidth="1"/>
    <col min="6423" max="6423" width="10.140625" bestFit="1" customWidth="1"/>
    <col min="6658" max="6658" width="10.28515625" customWidth="1"/>
    <col min="6659" max="6659" width="36.85546875" customWidth="1"/>
    <col min="6660" max="6671" width="0" hidden="1" customWidth="1"/>
    <col min="6672" max="6673" width="11.7109375" customWidth="1"/>
    <col min="6674" max="6674" width="12.140625" customWidth="1"/>
    <col min="6675" max="6675" width="7.28515625" customWidth="1"/>
    <col min="6679" max="6679" width="10.140625" bestFit="1" customWidth="1"/>
    <col min="6914" max="6914" width="10.28515625" customWidth="1"/>
    <col min="6915" max="6915" width="36.85546875" customWidth="1"/>
    <col min="6916" max="6927" width="0" hidden="1" customWidth="1"/>
    <col min="6928" max="6929" width="11.7109375" customWidth="1"/>
    <col min="6930" max="6930" width="12.140625" customWidth="1"/>
    <col min="6931" max="6931" width="7.28515625" customWidth="1"/>
    <col min="6935" max="6935" width="10.140625" bestFit="1" customWidth="1"/>
    <col min="7170" max="7170" width="10.28515625" customWidth="1"/>
    <col min="7171" max="7171" width="36.85546875" customWidth="1"/>
    <col min="7172" max="7183" width="0" hidden="1" customWidth="1"/>
    <col min="7184" max="7185" width="11.7109375" customWidth="1"/>
    <col min="7186" max="7186" width="12.140625" customWidth="1"/>
    <col min="7187" max="7187" width="7.28515625" customWidth="1"/>
    <col min="7191" max="7191" width="10.140625" bestFit="1" customWidth="1"/>
    <col min="7426" max="7426" width="10.28515625" customWidth="1"/>
    <col min="7427" max="7427" width="36.85546875" customWidth="1"/>
    <col min="7428" max="7439" width="0" hidden="1" customWidth="1"/>
    <col min="7440" max="7441" width="11.7109375" customWidth="1"/>
    <col min="7442" max="7442" width="12.140625" customWidth="1"/>
    <col min="7443" max="7443" width="7.28515625" customWidth="1"/>
    <col min="7447" max="7447" width="10.140625" bestFit="1" customWidth="1"/>
    <col min="7682" max="7682" width="10.28515625" customWidth="1"/>
    <col min="7683" max="7683" width="36.85546875" customWidth="1"/>
    <col min="7684" max="7695" width="0" hidden="1" customWidth="1"/>
    <col min="7696" max="7697" width="11.7109375" customWidth="1"/>
    <col min="7698" max="7698" width="12.140625" customWidth="1"/>
    <col min="7699" max="7699" width="7.28515625" customWidth="1"/>
    <col min="7703" max="7703" width="10.140625" bestFit="1" customWidth="1"/>
    <col min="7938" max="7938" width="10.28515625" customWidth="1"/>
    <col min="7939" max="7939" width="36.85546875" customWidth="1"/>
    <col min="7940" max="7951" width="0" hidden="1" customWidth="1"/>
    <col min="7952" max="7953" width="11.7109375" customWidth="1"/>
    <col min="7954" max="7954" width="12.140625" customWidth="1"/>
    <col min="7955" max="7955" width="7.28515625" customWidth="1"/>
    <col min="7959" max="7959" width="10.140625" bestFit="1" customWidth="1"/>
    <col min="8194" max="8194" width="10.28515625" customWidth="1"/>
    <col min="8195" max="8195" width="36.85546875" customWidth="1"/>
    <col min="8196" max="8207" width="0" hidden="1" customWidth="1"/>
    <col min="8208" max="8209" width="11.7109375" customWidth="1"/>
    <col min="8210" max="8210" width="12.140625" customWidth="1"/>
    <col min="8211" max="8211" width="7.28515625" customWidth="1"/>
    <col min="8215" max="8215" width="10.140625" bestFit="1" customWidth="1"/>
    <col min="8450" max="8450" width="10.28515625" customWidth="1"/>
    <col min="8451" max="8451" width="36.85546875" customWidth="1"/>
    <col min="8452" max="8463" width="0" hidden="1" customWidth="1"/>
    <col min="8464" max="8465" width="11.7109375" customWidth="1"/>
    <col min="8466" max="8466" width="12.140625" customWidth="1"/>
    <col min="8467" max="8467" width="7.28515625" customWidth="1"/>
    <col min="8471" max="8471" width="10.140625" bestFit="1" customWidth="1"/>
    <col min="8706" max="8706" width="10.28515625" customWidth="1"/>
    <col min="8707" max="8707" width="36.85546875" customWidth="1"/>
    <col min="8708" max="8719" width="0" hidden="1" customWidth="1"/>
    <col min="8720" max="8721" width="11.7109375" customWidth="1"/>
    <col min="8722" max="8722" width="12.140625" customWidth="1"/>
    <col min="8723" max="8723" width="7.28515625" customWidth="1"/>
    <col min="8727" max="8727" width="10.140625" bestFit="1" customWidth="1"/>
    <col min="8962" max="8962" width="10.28515625" customWidth="1"/>
    <col min="8963" max="8963" width="36.85546875" customWidth="1"/>
    <col min="8964" max="8975" width="0" hidden="1" customWidth="1"/>
    <col min="8976" max="8977" width="11.7109375" customWidth="1"/>
    <col min="8978" max="8978" width="12.140625" customWidth="1"/>
    <col min="8979" max="8979" width="7.28515625" customWidth="1"/>
    <col min="8983" max="8983" width="10.140625" bestFit="1" customWidth="1"/>
    <col min="9218" max="9218" width="10.28515625" customWidth="1"/>
    <col min="9219" max="9219" width="36.85546875" customWidth="1"/>
    <col min="9220" max="9231" width="0" hidden="1" customWidth="1"/>
    <col min="9232" max="9233" width="11.7109375" customWidth="1"/>
    <col min="9234" max="9234" width="12.140625" customWidth="1"/>
    <col min="9235" max="9235" width="7.28515625" customWidth="1"/>
    <col min="9239" max="9239" width="10.140625" bestFit="1" customWidth="1"/>
    <col min="9474" max="9474" width="10.28515625" customWidth="1"/>
    <col min="9475" max="9475" width="36.85546875" customWidth="1"/>
    <col min="9476" max="9487" width="0" hidden="1" customWidth="1"/>
    <col min="9488" max="9489" width="11.7109375" customWidth="1"/>
    <col min="9490" max="9490" width="12.140625" customWidth="1"/>
    <col min="9491" max="9491" width="7.28515625" customWidth="1"/>
    <col min="9495" max="9495" width="10.140625" bestFit="1" customWidth="1"/>
    <col min="9730" max="9730" width="10.28515625" customWidth="1"/>
    <col min="9731" max="9731" width="36.85546875" customWidth="1"/>
    <col min="9732" max="9743" width="0" hidden="1" customWidth="1"/>
    <col min="9744" max="9745" width="11.7109375" customWidth="1"/>
    <col min="9746" max="9746" width="12.140625" customWidth="1"/>
    <col min="9747" max="9747" width="7.28515625" customWidth="1"/>
    <col min="9751" max="9751" width="10.140625" bestFit="1" customWidth="1"/>
    <col min="9986" max="9986" width="10.28515625" customWidth="1"/>
    <col min="9987" max="9987" width="36.85546875" customWidth="1"/>
    <col min="9988" max="9999" width="0" hidden="1" customWidth="1"/>
    <col min="10000" max="10001" width="11.7109375" customWidth="1"/>
    <col min="10002" max="10002" width="12.140625" customWidth="1"/>
    <col min="10003" max="10003" width="7.28515625" customWidth="1"/>
    <col min="10007" max="10007" width="10.140625" bestFit="1" customWidth="1"/>
    <col min="10242" max="10242" width="10.28515625" customWidth="1"/>
    <col min="10243" max="10243" width="36.85546875" customWidth="1"/>
    <col min="10244" max="10255" width="0" hidden="1" customWidth="1"/>
    <col min="10256" max="10257" width="11.7109375" customWidth="1"/>
    <col min="10258" max="10258" width="12.140625" customWidth="1"/>
    <col min="10259" max="10259" width="7.28515625" customWidth="1"/>
    <col min="10263" max="10263" width="10.140625" bestFit="1" customWidth="1"/>
    <col min="10498" max="10498" width="10.28515625" customWidth="1"/>
    <col min="10499" max="10499" width="36.85546875" customWidth="1"/>
    <col min="10500" max="10511" width="0" hidden="1" customWidth="1"/>
    <col min="10512" max="10513" width="11.7109375" customWidth="1"/>
    <col min="10514" max="10514" width="12.140625" customWidth="1"/>
    <col min="10515" max="10515" width="7.28515625" customWidth="1"/>
    <col min="10519" max="10519" width="10.140625" bestFit="1" customWidth="1"/>
    <col min="10754" max="10754" width="10.28515625" customWidth="1"/>
    <col min="10755" max="10755" width="36.85546875" customWidth="1"/>
    <col min="10756" max="10767" width="0" hidden="1" customWidth="1"/>
    <col min="10768" max="10769" width="11.7109375" customWidth="1"/>
    <col min="10770" max="10770" width="12.140625" customWidth="1"/>
    <col min="10771" max="10771" width="7.28515625" customWidth="1"/>
    <col min="10775" max="10775" width="10.140625" bestFit="1" customWidth="1"/>
    <col min="11010" max="11010" width="10.28515625" customWidth="1"/>
    <col min="11011" max="11011" width="36.85546875" customWidth="1"/>
    <col min="11012" max="11023" width="0" hidden="1" customWidth="1"/>
    <col min="11024" max="11025" width="11.7109375" customWidth="1"/>
    <col min="11026" max="11026" width="12.140625" customWidth="1"/>
    <col min="11027" max="11027" width="7.28515625" customWidth="1"/>
    <col min="11031" max="11031" width="10.140625" bestFit="1" customWidth="1"/>
    <col min="11266" max="11266" width="10.28515625" customWidth="1"/>
    <col min="11267" max="11267" width="36.85546875" customWidth="1"/>
    <col min="11268" max="11279" width="0" hidden="1" customWidth="1"/>
    <col min="11280" max="11281" width="11.7109375" customWidth="1"/>
    <col min="11282" max="11282" width="12.140625" customWidth="1"/>
    <col min="11283" max="11283" width="7.28515625" customWidth="1"/>
    <col min="11287" max="11287" width="10.140625" bestFit="1" customWidth="1"/>
    <col min="11522" max="11522" width="10.28515625" customWidth="1"/>
    <col min="11523" max="11523" width="36.85546875" customWidth="1"/>
    <col min="11524" max="11535" width="0" hidden="1" customWidth="1"/>
    <col min="11536" max="11537" width="11.7109375" customWidth="1"/>
    <col min="11538" max="11538" width="12.140625" customWidth="1"/>
    <col min="11539" max="11539" width="7.28515625" customWidth="1"/>
    <col min="11543" max="11543" width="10.140625" bestFit="1" customWidth="1"/>
    <col min="11778" max="11778" width="10.28515625" customWidth="1"/>
    <col min="11779" max="11779" width="36.85546875" customWidth="1"/>
    <col min="11780" max="11791" width="0" hidden="1" customWidth="1"/>
    <col min="11792" max="11793" width="11.7109375" customWidth="1"/>
    <col min="11794" max="11794" width="12.140625" customWidth="1"/>
    <col min="11795" max="11795" width="7.28515625" customWidth="1"/>
    <col min="11799" max="11799" width="10.140625" bestFit="1" customWidth="1"/>
    <col min="12034" max="12034" width="10.28515625" customWidth="1"/>
    <col min="12035" max="12035" width="36.85546875" customWidth="1"/>
    <col min="12036" max="12047" width="0" hidden="1" customWidth="1"/>
    <col min="12048" max="12049" width="11.7109375" customWidth="1"/>
    <col min="12050" max="12050" width="12.140625" customWidth="1"/>
    <col min="12051" max="12051" width="7.28515625" customWidth="1"/>
    <col min="12055" max="12055" width="10.140625" bestFit="1" customWidth="1"/>
    <col min="12290" max="12290" width="10.28515625" customWidth="1"/>
    <col min="12291" max="12291" width="36.85546875" customWidth="1"/>
    <col min="12292" max="12303" width="0" hidden="1" customWidth="1"/>
    <col min="12304" max="12305" width="11.7109375" customWidth="1"/>
    <col min="12306" max="12306" width="12.140625" customWidth="1"/>
    <col min="12307" max="12307" width="7.28515625" customWidth="1"/>
    <col min="12311" max="12311" width="10.140625" bestFit="1" customWidth="1"/>
    <col min="12546" max="12546" width="10.28515625" customWidth="1"/>
    <col min="12547" max="12547" width="36.85546875" customWidth="1"/>
    <col min="12548" max="12559" width="0" hidden="1" customWidth="1"/>
    <col min="12560" max="12561" width="11.7109375" customWidth="1"/>
    <col min="12562" max="12562" width="12.140625" customWidth="1"/>
    <col min="12563" max="12563" width="7.28515625" customWidth="1"/>
    <col min="12567" max="12567" width="10.140625" bestFit="1" customWidth="1"/>
    <col min="12802" max="12802" width="10.28515625" customWidth="1"/>
    <col min="12803" max="12803" width="36.85546875" customWidth="1"/>
    <col min="12804" max="12815" width="0" hidden="1" customWidth="1"/>
    <col min="12816" max="12817" width="11.7109375" customWidth="1"/>
    <col min="12818" max="12818" width="12.140625" customWidth="1"/>
    <col min="12819" max="12819" width="7.28515625" customWidth="1"/>
    <col min="12823" max="12823" width="10.140625" bestFit="1" customWidth="1"/>
    <col min="13058" max="13058" width="10.28515625" customWidth="1"/>
    <col min="13059" max="13059" width="36.85546875" customWidth="1"/>
    <col min="13060" max="13071" width="0" hidden="1" customWidth="1"/>
    <col min="13072" max="13073" width="11.7109375" customWidth="1"/>
    <col min="13074" max="13074" width="12.140625" customWidth="1"/>
    <col min="13075" max="13075" width="7.28515625" customWidth="1"/>
    <col min="13079" max="13079" width="10.140625" bestFit="1" customWidth="1"/>
    <col min="13314" max="13314" width="10.28515625" customWidth="1"/>
    <col min="13315" max="13315" width="36.85546875" customWidth="1"/>
    <col min="13316" max="13327" width="0" hidden="1" customWidth="1"/>
    <col min="13328" max="13329" width="11.7109375" customWidth="1"/>
    <col min="13330" max="13330" width="12.140625" customWidth="1"/>
    <col min="13331" max="13331" width="7.28515625" customWidth="1"/>
    <col min="13335" max="13335" width="10.140625" bestFit="1" customWidth="1"/>
    <col min="13570" max="13570" width="10.28515625" customWidth="1"/>
    <col min="13571" max="13571" width="36.85546875" customWidth="1"/>
    <col min="13572" max="13583" width="0" hidden="1" customWidth="1"/>
    <col min="13584" max="13585" width="11.7109375" customWidth="1"/>
    <col min="13586" max="13586" width="12.140625" customWidth="1"/>
    <col min="13587" max="13587" width="7.28515625" customWidth="1"/>
    <col min="13591" max="13591" width="10.140625" bestFit="1" customWidth="1"/>
    <col min="13826" max="13826" width="10.28515625" customWidth="1"/>
    <col min="13827" max="13827" width="36.85546875" customWidth="1"/>
    <col min="13828" max="13839" width="0" hidden="1" customWidth="1"/>
    <col min="13840" max="13841" width="11.7109375" customWidth="1"/>
    <col min="13842" max="13842" width="12.140625" customWidth="1"/>
    <col min="13843" max="13843" width="7.28515625" customWidth="1"/>
    <col min="13847" max="13847" width="10.140625" bestFit="1" customWidth="1"/>
    <col min="14082" max="14082" width="10.28515625" customWidth="1"/>
    <col min="14083" max="14083" width="36.85546875" customWidth="1"/>
    <col min="14084" max="14095" width="0" hidden="1" customWidth="1"/>
    <col min="14096" max="14097" width="11.7109375" customWidth="1"/>
    <col min="14098" max="14098" width="12.140625" customWidth="1"/>
    <col min="14099" max="14099" width="7.28515625" customWidth="1"/>
    <col min="14103" max="14103" width="10.140625" bestFit="1" customWidth="1"/>
    <col min="14338" max="14338" width="10.28515625" customWidth="1"/>
    <col min="14339" max="14339" width="36.85546875" customWidth="1"/>
    <col min="14340" max="14351" width="0" hidden="1" customWidth="1"/>
    <col min="14352" max="14353" width="11.7109375" customWidth="1"/>
    <col min="14354" max="14354" width="12.140625" customWidth="1"/>
    <col min="14355" max="14355" width="7.28515625" customWidth="1"/>
    <col min="14359" max="14359" width="10.140625" bestFit="1" customWidth="1"/>
    <col min="14594" max="14594" width="10.28515625" customWidth="1"/>
    <col min="14595" max="14595" width="36.85546875" customWidth="1"/>
    <col min="14596" max="14607" width="0" hidden="1" customWidth="1"/>
    <col min="14608" max="14609" width="11.7109375" customWidth="1"/>
    <col min="14610" max="14610" width="12.140625" customWidth="1"/>
    <col min="14611" max="14611" width="7.28515625" customWidth="1"/>
    <col min="14615" max="14615" width="10.140625" bestFit="1" customWidth="1"/>
    <col min="14850" max="14850" width="10.28515625" customWidth="1"/>
    <col min="14851" max="14851" width="36.85546875" customWidth="1"/>
    <col min="14852" max="14863" width="0" hidden="1" customWidth="1"/>
    <col min="14864" max="14865" width="11.7109375" customWidth="1"/>
    <col min="14866" max="14866" width="12.140625" customWidth="1"/>
    <col min="14867" max="14867" width="7.28515625" customWidth="1"/>
    <col min="14871" max="14871" width="10.140625" bestFit="1" customWidth="1"/>
    <col min="15106" max="15106" width="10.28515625" customWidth="1"/>
    <col min="15107" max="15107" width="36.85546875" customWidth="1"/>
    <col min="15108" max="15119" width="0" hidden="1" customWidth="1"/>
    <col min="15120" max="15121" width="11.7109375" customWidth="1"/>
    <col min="15122" max="15122" width="12.140625" customWidth="1"/>
    <col min="15123" max="15123" width="7.28515625" customWidth="1"/>
    <col min="15127" max="15127" width="10.140625" bestFit="1" customWidth="1"/>
    <col min="15362" max="15362" width="10.28515625" customWidth="1"/>
    <col min="15363" max="15363" width="36.85546875" customWidth="1"/>
    <col min="15364" max="15375" width="0" hidden="1" customWidth="1"/>
    <col min="15376" max="15377" width="11.7109375" customWidth="1"/>
    <col min="15378" max="15378" width="12.140625" customWidth="1"/>
    <col min="15379" max="15379" width="7.28515625" customWidth="1"/>
    <col min="15383" max="15383" width="10.140625" bestFit="1" customWidth="1"/>
    <col min="15618" max="15618" width="10.28515625" customWidth="1"/>
    <col min="15619" max="15619" width="36.85546875" customWidth="1"/>
    <col min="15620" max="15631" width="0" hidden="1" customWidth="1"/>
    <col min="15632" max="15633" width="11.7109375" customWidth="1"/>
    <col min="15634" max="15634" width="12.140625" customWidth="1"/>
    <col min="15635" max="15635" width="7.28515625" customWidth="1"/>
    <col min="15639" max="15639" width="10.140625" bestFit="1" customWidth="1"/>
    <col min="15874" max="15874" width="10.28515625" customWidth="1"/>
    <col min="15875" max="15875" width="36.85546875" customWidth="1"/>
    <col min="15876" max="15887" width="0" hidden="1" customWidth="1"/>
    <col min="15888" max="15889" width="11.7109375" customWidth="1"/>
    <col min="15890" max="15890" width="12.140625" customWidth="1"/>
    <col min="15891" max="15891" width="7.28515625" customWidth="1"/>
    <col min="15895" max="15895" width="10.140625" bestFit="1" customWidth="1"/>
    <col min="16130" max="16130" width="10.28515625" customWidth="1"/>
    <col min="16131" max="16131" width="36.85546875" customWidth="1"/>
    <col min="16132" max="16143" width="0" hidden="1" customWidth="1"/>
    <col min="16144" max="16145" width="11.7109375" customWidth="1"/>
    <col min="16146" max="16146" width="12.140625" customWidth="1"/>
    <col min="16147" max="16147" width="7.28515625" customWidth="1"/>
    <col min="16151" max="16151" width="10.140625" bestFit="1" customWidth="1"/>
  </cols>
  <sheetData>
    <row r="2" spans="1:23" ht="15.75" thickBot="1" x14ac:dyDescent="0.3">
      <c r="A2" s="859" t="s">
        <v>394</v>
      </c>
      <c r="B2" s="859"/>
      <c r="C2" s="859"/>
      <c r="D2" s="859"/>
      <c r="E2" s="859"/>
      <c r="F2" s="859"/>
      <c r="G2" s="859"/>
      <c r="H2" s="859"/>
      <c r="I2" s="859"/>
      <c r="J2" s="859"/>
      <c r="K2" s="551"/>
      <c r="L2" s="551"/>
      <c r="M2" s="551"/>
      <c r="N2" s="551"/>
      <c r="O2" s="551"/>
      <c r="P2" s="551"/>
      <c r="Q2" s="551"/>
      <c r="R2" s="550"/>
      <c r="S2" s="550"/>
    </row>
    <row r="3" spans="1:23" ht="15.75" customHeight="1" thickTop="1" x14ac:dyDescent="0.25">
      <c r="A3" s="889" t="s">
        <v>120</v>
      </c>
      <c r="B3" s="860" t="s">
        <v>1</v>
      </c>
      <c r="C3" s="805" t="s">
        <v>121</v>
      </c>
      <c r="D3" s="751" t="s">
        <v>122</v>
      </c>
      <c r="E3" s="751" t="s">
        <v>123</v>
      </c>
      <c r="F3" s="751" t="s">
        <v>124</v>
      </c>
      <c r="G3" s="751" t="s">
        <v>125</v>
      </c>
      <c r="H3" s="751" t="s">
        <v>126</v>
      </c>
      <c r="I3" s="751" t="s">
        <v>8</v>
      </c>
      <c r="J3" s="751" t="s">
        <v>9</v>
      </c>
      <c r="K3" s="751" t="s">
        <v>10</v>
      </c>
      <c r="L3" s="751" t="s">
        <v>11</v>
      </c>
      <c r="M3" s="751" t="s">
        <v>12</v>
      </c>
      <c r="N3" s="751" t="s">
        <v>13</v>
      </c>
      <c r="O3" s="751" t="s">
        <v>14</v>
      </c>
      <c r="P3" s="607"/>
      <c r="Q3" s="751" t="s">
        <v>16</v>
      </c>
      <c r="R3" s="753" t="s">
        <v>17</v>
      </c>
      <c r="S3" s="791" t="s">
        <v>18</v>
      </c>
      <c r="T3" s="785" t="s">
        <v>426</v>
      </c>
      <c r="U3" s="787" t="s">
        <v>427</v>
      </c>
    </row>
    <row r="4" spans="1:23" ht="31.5" customHeight="1" thickBot="1" x14ac:dyDescent="0.3">
      <c r="A4" s="890"/>
      <c r="B4" s="861"/>
      <c r="C4" s="806"/>
      <c r="D4" s="752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608"/>
      <c r="Q4" s="752"/>
      <c r="R4" s="754"/>
      <c r="S4" s="792"/>
      <c r="T4" s="786"/>
      <c r="U4" s="788"/>
    </row>
    <row r="5" spans="1:23" ht="16.5" thickTop="1" thickBot="1" x14ac:dyDescent="0.3">
      <c r="A5" s="552" t="s">
        <v>395</v>
      </c>
      <c r="B5" s="885" t="s">
        <v>385</v>
      </c>
      <c r="C5" s="886"/>
      <c r="D5" s="553">
        <f t="shared" ref="D5:R5" si="0">SUM(D6:D12)</f>
        <v>477793</v>
      </c>
      <c r="E5" s="553">
        <f t="shared" si="0"/>
        <v>470856</v>
      </c>
      <c r="F5" s="553">
        <f t="shared" si="0"/>
        <v>334085</v>
      </c>
      <c r="G5" s="553">
        <f t="shared" si="0"/>
        <v>1303204</v>
      </c>
      <c r="H5" s="553">
        <f t="shared" si="0"/>
        <v>978096</v>
      </c>
      <c r="I5" s="553">
        <f t="shared" si="0"/>
        <v>1356608</v>
      </c>
      <c r="J5" s="553">
        <f t="shared" si="0"/>
        <v>1191263</v>
      </c>
      <c r="K5" s="553">
        <f t="shared" si="0"/>
        <v>977990</v>
      </c>
      <c r="L5" s="554">
        <f t="shared" si="0"/>
        <v>439019.94999999995</v>
      </c>
      <c r="M5" s="554">
        <f t="shared" si="0"/>
        <v>540080.30000000005</v>
      </c>
      <c r="N5" s="555">
        <f>SUM(N6:N12)</f>
        <v>2548753.6599999997</v>
      </c>
      <c r="O5" s="555">
        <f>SUM(O6:O12)</f>
        <v>484835.82</v>
      </c>
      <c r="P5" s="556">
        <f>SUM(P6:P12)</f>
        <v>849215.54</v>
      </c>
      <c r="Q5" s="556">
        <f>SUM(Q6:Q12)</f>
        <v>456000</v>
      </c>
      <c r="R5" s="556">
        <f t="shared" si="0"/>
        <v>506301</v>
      </c>
      <c r="S5" s="557">
        <f t="shared" ref="S5:S13" si="1">IF(N5=0,0,R5/N5)</f>
        <v>0.19864650238501277</v>
      </c>
      <c r="T5" s="553">
        <f>SUM(T6:T12)</f>
        <v>506301</v>
      </c>
      <c r="U5" s="715">
        <f>SUM(U6:U12)</f>
        <v>506301</v>
      </c>
    </row>
    <row r="6" spans="1:23" x14ac:dyDescent="0.25">
      <c r="A6" s="891"/>
      <c r="B6" s="558"/>
      <c r="C6" s="558" t="s">
        <v>396</v>
      </c>
      <c r="D6" s="558">
        <v>307741</v>
      </c>
      <c r="E6" s="558">
        <v>188873</v>
      </c>
      <c r="F6" s="558">
        <v>209516</v>
      </c>
      <c r="G6" s="558">
        <v>326854</v>
      </c>
      <c r="H6" s="558">
        <v>199897</v>
      </c>
      <c r="I6" s="558">
        <v>22394</v>
      </c>
      <c r="J6" s="559">
        <v>122620</v>
      </c>
      <c r="K6" s="560">
        <v>207083</v>
      </c>
      <c r="L6" s="561">
        <v>173080.99</v>
      </c>
      <c r="M6" s="561">
        <v>233161.19</v>
      </c>
      <c r="N6" s="562">
        <v>1839260.43</v>
      </c>
      <c r="O6" s="562">
        <v>338571.97</v>
      </c>
      <c r="P6" s="562">
        <v>367612.56</v>
      </c>
      <c r="Q6" s="563">
        <v>376000</v>
      </c>
      <c r="R6" s="564">
        <v>428301</v>
      </c>
      <c r="S6" s="565">
        <f>IF(N6=0,0,R6/Q6)</f>
        <v>1.1390984042553192</v>
      </c>
      <c r="T6" s="564">
        <v>428301</v>
      </c>
      <c r="U6" s="716">
        <v>428301</v>
      </c>
      <c r="W6" s="327"/>
    </row>
    <row r="7" spans="1:23" x14ac:dyDescent="0.25">
      <c r="A7" s="892"/>
      <c r="B7" s="566"/>
      <c r="C7" s="567" t="s">
        <v>397</v>
      </c>
      <c r="D7" s="567"/>
      <c r="E7" s="567"/>
      <c r="F7" s="567"/>
      <c r="G7" s="567"/>
      <c r="H7" s="567">
        <v>490783</v>
      </c>
      <c r="I7" s="567">
        <v>1098574</v>
      </c>
      <c r="J7" s="407">
        <v>733308</v>
      </c>
      <c r="K7" s="568">
        <v>631012</v>
      </c>
      <c r="L7" s="569">
        <v>171789.61</v>
      </c>
      <c r="M7" s="569">
        <v>233027.7</v>
      </c>
      <c r="N7" s="570">
        <v>497600.75</v>
      </c>
      <c r="O7" s="570"/>
      <c r="P7" s="570">
        <v>363308.49</v>
      </c>
      <c r="Q7" s="571"/>
      <c r="R7" s="132"/>
      <c r="S7" s="572">
        <f t="shared" si="1"/>
        <v>0</v>
      </c>
      <c r="T7" s="132"/>
      <c r="U7" s="717"/>
    </row>
    <row r="8" spans="1:23" x14ac:dyDescent="0.25">
      <c r="A8" s="892"/>
      <c r="B8" s="573"/>
      <c r="C8" s="403" t="s">
        <v>398</v>
      </c>
      <c r="D8" s="403"/>
      <c r="E8" s="403"/>
      <c r="F8" s="403"/>
      <c r="G8" s="403"/>
      <c r="H8" s="403">
        <v>52527</v>
      </c>
      <c r="I8" s="403">
        <v>53214</v>
      </c>
      <c r="J8" s="132">
        <v>53736</v>
      </c>
      <c r="K8" s="568">
        <v>54692</v>
      </c>
      <c r="L8" s="569">
        <v>59829.25</v>
      </c>
      <c r="M8" s="569">
        <v>73891.41</v>
      </c>
      <c r="N8" s="570">
        <v>74759.429999999993</v>
      </c>
      <c r="O8" s="570">
        <v>75808.05</v>
      </c>
      <c r="P8" s="570">
        <v>76653.59</v>
      </c>
      <c r="Q8" s="571">
        <v>75000</v>
      </c>
      <c r="R8" s="568">
        <v>78000</v>
      </c>
      <c r="S8" s="574">
        <f t="shared" si="1"/>
        <v>1.0433466386782244</v>
      </c>
      <c r="T8" s="568">
        <v>78000</v>
      </c>
      <c r="U8" s="718">
        <v>78000</v>
      </c>
    </row>
    <row r="9" spans="1:23" x14ac:dyDescent="0.25">
      <c r="A9" s="892"/>
      <c r="B9" s="575"/>
      <c r="C9" s="576" t="s">
        <v>399</v>
      </c>
      <c r="D9" s="577">
        <v>2622</v>
      </c>
      <c r="E9" s="577">
        <v>6805</v>
      </c>
      <c r="F9" s="577">
        <v>5206</v>
      </c>
      <c r="G9" s="577">
        <v>73230</v>
      </c>
      <c r="H9" s="577">
        <v>22330</v>
      </c>
      <c r="I9" s="577">
        <v>7462</v>
      </c>
      <c r="J9" s="578"/>
      <c r="K9" s="132"/>
      <c r="L9" s="338"/>
      <c r="M9" s="338"/>
      <c r="N9" s="134">
        <v>114400.25</v>
      </c>
      <c r="O9" s="134"/>
      <c r="P9" s="134"/>
      <c r="Q9" s="133"/>
      <c r="R9" s="132"/>
      <c r="S9" s="572">
        <f t="shared" si="1"/>
        <v>0</v>
      </c>
      <c r="T9" s="132"/>
      <c r="U9" s="717"/>
      <c r="W9" s="204"/>
    </row>
    <row r="10" spans="1:23" x14ac:dyDescent="0.25">
      <c r="A10" s="892"/>
      <c r="B10" s="575"/>
      <c r="C10" s="576" t="s">
        <v>400</v>
      </c>
      <c r="D10" s="577"/>
      <c r="E10" s="577"/>
      <c r="F10" s="577"/>
      <c r="G10" s="577"/>
      <c r="H10" s="577"/>
      <c r="I10" s="577"/>
      <c r="J10" s="578"/>
      <c r="K10" s="132"/>
      <c r="L10" s="338"/>
      <c r="M10" s="338"/>
      <c r="N10" s="134">
        <v>11332.8</v>
      </c>
      <c r="O10" s="134"/>
      <c r="P10" s="134">
        <v>14992.5</v>
      </c>
      <c r="Q10" s="133"/>
      <c r="R10" s="132"/>
      <c r="S10" s="572"/>
      <c r="T10" s="132"/>
      <c r="U10" s="717"/>
      <c r="W10" s="204"/>
    </row>
    <row r="11" spans="1:23" x14ac:dyDescent="0.25">
      <c r="A11" s="892"/>
      <c r="B11" s="573"/>
      <c r="C11" s="573" t="s">
        <v>401</v>
      </c>
      <c r="D11" s="573"/>
      <c r="E11" s="573">
        <v>275178</v>
      </c>
      <c r="F11" s="573"/>
      <c r="G11" s="573">
        <v>903120</v>
      </c>
      <c r="H11" s="573">
        <v>212559</v>
      </c>
      <c r="I11" s="573">
        <v>174964</v>
      </c>
      <c r="J11" s="579">
        <v>281599</v>
      </c>
      <c r="K11" s="579">
        <v>85203</v>
      </c>
      <c r="L11" s="580">
        <v>34320.1</v>
      </c>
      <c r="M11" s="580">
        <v>0</v>
      </c>
      <c r="N11" s="581"/>
      <c r="O11" s="581">
        <v>70455.800000000047</v>
      </c>
      <c r="P11" s="581"/>
      <c r="Q11" s="582"/>
      <c r="R11" s="579"/>
      <c r="S11" s="583">
        <f t="shared" si="1"/>
        <v>0</v>
      </c>
      <c r="T11" s="579"/>
      <c r="U11" s="719"/>
    </row>
    <row r="12" spans="1:23" ht="15.75" thickBot="1" x14ac:dyDescent="0.3">
      <c r="A12" s="893"/>
      <c r="B12" s="584"/>
      <c r="C12" s="573" t="s">
        <v>390</v>
      </c>
      <c r="D12" s="584">
        <v>167430</v>
      </c>
      <c r="E12" s="584">
        <v>0</v>
      </c>
      <c r="F12" s="584">
        <v>119363</v>
      </c>
      <c r="G12" s="584"/>
      <c r="H12" s="584"/>
      <c r="I12" s="584"/>
      <c r="J12" s="585"/>
      <c r="K12" s="585"/>
      <c r="L12" s="586"/>
      <c r="M12" s="586">
        <v>0</v>
      </c>
      <c r="N12" s="587">
        <v>11400</v>
      </c>
      <c r="O12" s="587"/>
      <c r="P12" s="587">
        <v>26648.400000000001</v>
      </c>
      <c r="Q12" s="588">
        <v>5000</v>
      </c>
      <c r="R12" s="585">
        <v>0</v>
      </c>
      <c r="S12" s="589">
        <f t="shared" si="1"/>
        <v>0</v>
      </c>
      <c r="T12" s="585">
        <v>0</v>
      </c>
      <c r="U12" s="720">
        <v>0</v>
      </c>
    </row>
    <row r="13" spans="1:23" ht="16.5" thickTop="1" thickBot="1" x14ac:dyDescent="0.3">
      <c r="A13" s="881" t="s">
        <v>393</v>
      </c>
      <c r="B13" s="882"/>
      <c r="C13" s="883"/>
      <c r="D13" s="547">
        <f t="shared" ref="D13:R13" si="2">D5</f>
        <v>477793</v>
      </c>
      <c r="E13" s="547">
        <f t="shared" si="2"/>
        <v>470856</v>
      </c>
      <c r="F13" s="547">
        <f t="shared" si="2"/>
        <v>334085</v>
      </c>
      <c r="G13" s="547">
        <f t="shared" si="2"/>
        <v>1303204</v>
      </c>
      <c r="H13" s="547">
        <f t="shared" si="2"/>
        <v>978096</v>
      </c>
      <c r="I13" s="547">
        <f t="shared" si="2"/>
        <v>1356608</v>
      </c>
      <c r="J13" s="547">
        <f t="shared" si="2"/>
        <v>1191263</v>
      </c>
      <c r="K13" s="547">
        <f t="shared" si="2"/>
        <v>977990</v>
      </c>
      <c r="L13" s="548">
        <f t="shared" si="2"/>
        <v>439019.94999999995</v>
      </c>
      <c r="M13" s="548">
        <f t="shared" si="2"/>
        <v>540080.30000000005</v>
      </c>
      <c r="N13" s="590">
        <f t="shared" si="2"/>
        <v>2548753.6599999997</v>
      </c>
      <c r="O13" s="548">
        <f t="shared" si="2"/>
        <v>484835.82</v>
      </c>
      <c r="P13" s="591">
        <f t="shared" si="2"/>
        <v>849215.54</v>
      </c>
      <c r="Q13" s="591">
        <f t="shared" si="2"/>
        <v>456000</v>
      </c>
      <c r="R13" s="547">
        <f t="shared" si="2"/>
        <v>506301</v>
      </c>
      <c r="S13" s="592">
        <f t="shared" si="1"/>
        <v>0.19864650238501277</v>
      </c>
      <c r="T13" s="547">
        <f>T5</f>
        <v>506301</v>
      </c>
      <c r="U13" s="714">
        <f>U5</f>
        <v>506301</v>
      </c>
    </row>
    <row r="14" spans="1:23" ht="15.75" thickTop="1" x14ac:dyDescent="0.25"/>
  </sheetData>
  <mergeCells count="24">
    <mergeCell ref="T3:T4"/>
    <mergeCell ref="U3:U4"/>
    <mergeCell ref="A6:A12"/>
    <mergeCell ref="A13:C13"/>
    <mergeCell ref="Q3:Q4"/>
    <mergeCell ref="R3:R4"/>
    <mergeCell ref="S3:S4"/>
    <mergeCell ref="B5:C5"/>
    <mergeCell ref="J3:J4"/>
    <mergeCell ref="K3:K4"/>
    <mergeCell ref="L3:L4"/>
    <mergeCell ref="M3:M4"/>
    <mergeCell ref="N3:N4"/>
    <mergeCell ref="O3:O4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workbookViewId="0">
      <selection activeCell="T35" sqref="T35"/>
    </sheetView>
  </sheetViews>
  <sheetFormatPr defaultRowHeight="15" x14ac:dyDescent="0.25"/>
  <cols>
    <col min="1" max="1" width="47" customWidth="1"/>
    <col min="2" max="13" width="14.42578125" hidden="1" customWidth="1"/>
    <col min="14" max="15" width="14.42578125" customWidth="1"/>
    <col min="16" max="16" width="13.140625" customWidth="1"/>
    <col min="17" max="17" width="10.85546875" customWidth="1"/>
    <col min="18" max="19" width="13.28515625" customWidth="1"/>
    <col min="22" max="22" width="10.140625" bestFit="1" customWidth="1"/>
    <col min="23" max="23" width="11.42578125" bestFit="1" customWidth="1"/>
    <col min="25" max="25" width="12.140625" customWidth="1"/>
    <col min="257" max="257" width="47" customWidth="1"/>
    <col min="258" max="269" width="0" hidden="1" customWidth="1"/>
    <col min="270" max="271" width="14.42578125" customWidth="1"/>
    <col min="272" max="272" width="13.140625" customWidth="1"/>
    <col min="273" max="273" width="10.85546875" customWidth="1"/>
    <col min="274" max="275" width="13.28515625" customWidth="1"/>
    <col min="278" max="278" width="10.140625" bestFit="1" customWidth="1"/>
    <col min="279" max="279" width="11.42578125" bestFit="1" customWidth="1"/>
    <col min="281" max="281" width="12.140625" customWidth="1"/>
    <col min="513" max="513" width="47" customWidth="1"/>
    <col min="514" max="525" width="0" hidden="1" customWidth="1"/>
    <col min="526" max="527" width="14.42578125" customWidth="1"/>
    <col min="528" max="528" width="13.140625" customWidth="1"/>
    <col min="529" max="529" width="10.85546875" customWidth="1"/>
    <col min="530" max="531" width="13.28515625" customWidth="1"/>
    <col min="534" max="534" width="10.140625" bestFit="1" customWidth="1"/>
    <col min="535" max="535" width="11.42578125" bestFit="1" customWidth="1"/>
    <col min="537" max="537" width="12.140625" customWidth="1"/>
    <col min="769" max="769" width="47" customWidth="1"/>
    <col min="770" max="781" width="0" hidden="1" customWidth="1"/>
    <col min="782" max="783" width="14.42578125" customWidth="1"/>
    <col min="784" max="784" width="13.140625" customWidth="1"/>
    <col min="785" max="785" width="10.85546875" customWidth="1"/>
    <col min="786" max="787" width="13.28515625" customWidth="1"/>
    <col min="790" max="790" width="10.140625" bestFit="1" customWidth="1"/>
    <col min="791" max="791" width="11.42578125" bestFit="1" customWidth="1"/>
    <col min="793" max="793" width="12.140625" customWidth="1"/>
    <col min="1025" max="1025" width="47" customWidth="1"/>
    <col min="1026" max="1037" width="0" hidden="1" customWidth="1"/>
    <col min="1038" max="1039" width="14.42578125" customWidth="1"/>
    <col min="1040" max="1040" width="13.140625" customWidth="1"/>
    <col min="1041" max="1041" width="10.85546875" customWidth="1"/>
    <col min="1042" max="1043" width="13.28515625" customWidth="1"/>
    <col min="1046" max="1046" width="10.140625" bestFit="1" customWidth="1"/>
    <col min="1047" max="1047" width="11.42578125" bestFit="1" customWidth="1"/>
    <col min="1049" max="1049" width="12.140625" customWidth="1"/>
    <col min="1281" max="1281" width="47" customWidth="1"/>
    <col min="1282" max="1293" width="0" hidden="1" customWidth="1"/>
    <col min="1294" max="1295" width="14.42578125" customWidth="1"/>
    <col min="1296" max="1296" width="13.140625" customWidth="1"/>
    <col min="1297" max="1297" width="10.85546875" customWidth="1"/>
    <col min="1298" max="1299" width="13.28515625" customWidth="1"/>
    <col min="1302" max="1302" width="10.140625" bestFit="1" customWidth="1"/>
    <col min="1303" max="1303" width="11.42578125" bestFit="1" customWidth="1"/>
    <col min="1305" max="1305" width="12.140625" customWidth="1"/>
    <col min="1537" max="1537" width="47" customWidth="1"/>
    <col min="1538" max="1549" width="0" hidden="1" customWidth="1"/>
    <col min="1550" max="1551" width="14.42578125" customWidth="1"/>
    <col min="1552" max="1552" width="13.140625" customWidth="1"/>
    <col min="1553" max="1553" width="10.85546875" customWidth="1"/>
    <col min="1554" max="1555" width="13.28515625" customWidth="1"/>
    <col min="1558" max="1558" width="10.140625" bestFit="1" customWidth="1"/>
    <col min="1559" max="1559" width="11.42578125" bestFit="1" customWidth="1"/>
    <col min="1561" max="1561" width="12.140625" customWidth="1"/>
    <col min="1793" max="1793" width="47" customWidth="1"/>
    <col min="1794" max="1805" width="0" hidden="1" customWidth="1"/>
    <col min="1806" max="1807" width="14.42578125" customWidth="1"/>
    <col min="1808" max="1808" width="13.140625" customWidth="1"/>
    <col min="1809" max="1809" width="10.85546875" customWidth="1"/>
    <col min="1810" max="1811" width="13.28515625" customWidth="1"/>
    <col min="1814" max="1814" width="10.140625" bestFit="1" customWidth="1"/>
    <col min="1815" max="1815" width="11.42578125" bestFit="1" customWidth="1"/>
    <col min="1817" max="1817" width="12.140625" customWidth="1"/>
    <col min="2049" max="2049" width="47" customWidth="1"/>
    <col min="2050" max="2061" width="0" hidden="1" customWidth="1"/>
    <col min="2062" max="2063" width="14.42578125" customWidth="1"/>
    <col min="2064" max="2064" width="13.140625" customWidth="1"/>
    <col min="2065" max="2065" width="10.85546875" customWidth="1"/>
    <col min="2066" max="2067" width="13.28515625" customWidth="1"/>
    <col min="2070" max="2070" width="10.140625" bestFit="1" customWidth="1"/>
    <col min="2071" max="2071" width="11.42578125" bestFit="1" customWidth="1"/>
    <col min="2073" max="2073" width="12.140625" customWidth="1"/>
    <col min="2305" max="2305" width="47" customWidth="1"/>
    <col min="2306" max="2317" width="0" hidden="1" customWidth="1"/>
    <col min="2318" max="2319" width="14.42578125" customWidth="1"/>
    <col min="2320" max="2320" width="13.140625" customWidth="1"/>
    <col min="2321" max="2321" width="10.85546875" customWidth="1"/>
    <col min="2322" max="2323" width="13.28515625" customWidth="1"/>
    <col min="2326" max="2326" width="10.140625" bestFit="1" customWidth="1"/>
    <col min="2327" max="2327" width="11.42578125" bestFit="1" customWidth="1"/>
    <col min="2329" max="2329" width="12.140625" customWidth="1"/>
    <col min="2561" max="2561" width="47" customWidth="1"/>
    <col min="2562" max="2573" width="0" hidden="1" customWidth="1"/>
    <col min="2574" max="2575" width="14.42578125" customWidth="1"/>
    <col min="2576" max="2576" width="13.140625" customWidth="1"/>
    <col min="2577" max="2577" width="10.85546875" customWidth="1"/>
    <col min="2578" max="2579" width="13.28515625" customWidth="1"/>
    <col min="2582" max="2582" width="10.140625" bestFit="1" customWidth="1"/>
    <col min="2583" max="2583" width="11.42578125" bestFit="1" customWidth="1"/>
    <col min="2585" max="2585" width="12.140625" customWidth="1"/>
    <col min="2817" max="2817" width="47" customWidth="1"/>
    <col min="2818" max="2829" width="0" hidden="1" customWidth="1"/>
    <col min="2830" max="2831" width="14.42578125" customWidth="1"/>
    <col min="2832" max="2832" width="13.140625" customWidth="1"/>
    <col min="2833" max="2833" width="10.85546875" customWidth="1"/>
    <col min="2834" max="2835" width="13.28515625" customWidth="1"/>
    <col min="2838" max="2838" width="10.140625" bestFit="1" customWidth="1"/>
    <col min="2839" max="2839" width="11.42578125" bestFit="1" customWidth="1"/>
    <col min="2841" max="2841" width="12.140625" customWidth="1"/>
    <col min="3073" max="3073" width="47" customWidth="1"/>
    <col min="3074" max="3085" width="0" hidden="1" customWidth="1"/>
    <col min="3086" max="3087" width="14.42578125" customWidth="1"/>
    <col min="3088" max="3088" width="13.140625" customWidth="1"/>
    <col min="3089" max="3089" width="10.85546875" customWidth="1"/>
    <col min="3090" max="3091" width="13.28515625" customWidth="1"/>
    <col min="3094" max="3094" width="10.140625" bestFit="1" customWidth="1"/>
    <col min="3095" max="3095" width="11.42578125" bestFit="1" customWidth="1"/>
    <col min="3097" max="3097" width="12.140625" customWidth="1"/>
    <col min="3329" max="3329" width="47" customWidth="1"/>
    <col min="3330" max="3341" width="0" hidden="1" customWidth="1"/>
    <col min="3342" max="3343" width="14.42578125" customWidth="1"/>
    <col min="3344" max="3344" width="13.140625" customWidth="1"/>
    <col min="3345" max="3345" width="10.85546875" customWidth="1"/>
    <col min="3346" max="3347" width="13.28515625" customWidth="1"/>
    <col min="3350" max="3350" width="10.140625" bestFit="1" customWidth="1"/>
    <col min="3351" max="3351" width="11.42578125" bestFit="1" customWidth="1"/>
    <col min="3353" max="3353" width="12.140625" customWidth="1"/>
    <col min="3585" max="3585" width="47" customWidth="1"/>
    <col min="3586" max="3597" width="0" hidden="1" customWidth="1"/>
    <col min="3598" max="3599" width="14.42578125" customWidth="1"/>
    <col min="3600" max="3600" width="13.140625" customWidth="1"/>
    <col min="3601" max="3601" width="10.85546875" customWidth="1"/>
    <col min="3602" max="3603" width="13.28515625" customWidth="1"/>
    <col min="3606" max="3606" width="10.140625" bestFit="1" customWidth="1"/>
    <col min="3607" max="3607" width="11.42578125" bestFit="1" customWidth="1"/>
    <col min="3609" max="3609" width="12.140625" customWidth="1"/>
    <col min="3841" max="3841" width="47" customWidth="1"/>
    <col min="3842" max="3853" width="0" hidden="1" customWidth="1"/>
    <col min="3854" max="3855" width="14.42578125" customWidth="1"/>
    <col min="3856" max="3856" width="13.140625" customWidth="1"/>
    <col min="3857" max="3857" width="10.85546875" customWidth="1"/>
    <col min="3858" max="3859" width="13.28515625" customWidth="1"/>
    <col min="3862" max="3862" width="10.140625" bestFit="1" customWidth="1"/>
    <col min="3863" max="3863" width="11.42578125" bestFit="1" customWidth="1"/>
    <col min="3865" max="3865" width="12.140625" customWidth="1"/>
    <col min="4097" max="4097" width="47" customWidth="1"/>
    <col min="4098" max="4109" width="0" hidden="1" customWidth="1"/>
    <col min="4110" max="4111" width="14.42578125" customWidth="1"/>
    <col min="4112" max="4112" width="13.140625" customWidth="1"/>
    <col min="4113" max="4113" width="10.85546875" customWidth="1"/>
    <col min="4114" max="4115" width="13.28515625" customWidth="1"/>
    <col min="4118" max="4118" width="10.140625" bestFit="1" customWidth="1"/>
    <col min="4119" max="4119" width="11.42578125" bestFit="1" customWidth="1"/>
    <col min="4121" max="4121" width="12.140625" customWidth="1"/>
    <col min="4353" max="4353" width="47" customWidth="1"/>
    <col min="4354" max="4365" width="0" hidden="1" customWidth="1"/>
    <col min="4366" max="4367" width="14.42578125" customWidth="1"/>
    <col min="4368" max="4368" width="13.140625" customWidth="1"/>
    <col min="4369" max="4369" width="10.85546875" customWidth="1"/>
    <col min="4370" max="4371" width="13.28515625" customWidth="1"/>
    <col min="4374" max="4374" width="10.140625" bestFit="1" customWidth="1"/>
    <col min="4375" max="4375" width="11.42578125" bestFit="1" customWidth="1"/>
    <col min="4377" max="4377" width="12.140625" customWidth="1"/>
    <col min="4609" max="4609" width="47" customWidth="1"/>
    <col min="4610" max="4621" width="0" hidden="1" customWidth="1"/>
    <col min="4622" max="4623" width="14.42578125" customWidth="1"/>
    <col min="4624" max="4624" width="13.140625" customWidth="1"/>
    <col min="4625" max="4625" width="10.85546875" customWidth="1"/>
    <col min="4626" max="4627" width="13.28515625" customWidth="1"/>
    <col min="4630" max="4630" width="10.140625" bestFit="1" customWidth="1"/>
    <col min="4631" max="4631" width="11.42578125" bestFit="1" customWidth="1"/>
    <col min="4633" max="4633" width="12.140625" customWidth="1"/>
    <col min="4865" max="4865" width="47" customWidth="1"/>
    <col min="4866" max="4877" width="0" hidden="1" customWidth="1"/>
    <col min="4878" max="4879" width="14.42578125" customWidth="1"/>
    <col min="4880" max="4880" width="13.140625" customWidth="1"/>
    <col min="4881" max="4881" width="10.85546875" customWidth="1"/>
    <col min="4882" max="4883" width="13.28515625" customWidth="1"/>
    <col min="4886" max="4886" width="10.140625" bestFit="1" customWidth="1"/>
    <col min="4887" max="4887" width="11.42578125" bestFit="1" customWidth="1"/>
    <col min="4889" max="4889" width="12.140625" customWidth="1"/>
    <col min="5121" max="5121" width="47" customWidth="1"/>
    <col min="5122" max="5133" width="0" hidden="1" customWidth="1"/>
    <col min="5134" max="5135" width="14.42578125" customWidth="1"/>
    <col min="5136" max="5136" width="13.140625" customWidth="1"/>
    <col min="5137" max="5137" width="10.85546875" customWidth="1"/>
    <col min="5138" max="5139" width="13.28515625" customWidth="1"/>
    <col min="5142" max="5142" width="10.140625" bestFit="1" customWidth="1"/>
    <col min="5143" max="5143" width="11.42578125" bestFit="1" customWidth="1"/>
    <col min="5145" max="5145" width="12.140625" customWidth="1"/>
    <col min="5377" max="5377" width="47" customWidth="1"/>
    <col min="5378" max="5389" width="0" hidden="1" customWidth="1"/>
    <col min="5390" max="5391" width="14.42578125" customWidth="1"/>
    <col min="5392" max="5392" width="13.140625" customWidth="1"/>
    <col min="5393" max="5393" width="10.85546875" customWidth="1"/>
    <col min="5394" max="5395" width="13.28515625" customWidth="1"/>
    <col min="5398" max="5398" width="10.140625" bestFit="1" customWidth="1"/>
    <col min="5399" max="5399" width="11.42578125" bestFit="1" customWidth="1"/>
    <col min="5401" max="5401" width="12.140625" customWidth="1"/>
    <col min="5633" max="5633" width="47" customWidth="1"/>
    <col min="5634" max="5645" width="0" hidden="1" customWidth="1"/>
    <col min="5646" max="5647" width="14.42578125" customWidth="1"/>
    <col min="5648" max="5648" width="13.140625" customWidth="1"/>
    <col min="5649" max="5649" width="10.85546875" customWidth="1"/>
    <col min="5650" max="5651" width="13.28515625" customWidth="1"/>
    <col min="5654" max="5654" width="10.140625" bestFit="1" customWidth="1"/>
    <col min="5655" max="5655" width="11.42578125" bestFit="1" customWidth="1"/>
    <col min="5657" max="5657" width="12.140625" customWidth="1"/>
    <col min="5889" max="5889" width="47" customWidth="1"/>
    <col min="5890" max="5901" width="0" hidden="1" customWidth="1"/>
    <col min="5902" max="5903" width="14.42578125" customWidth="1"/>
    <col min="5904" max="5904" width="13.140625" customWidth="1"/>
    <col min="5905" max="5905" width="10.85546875" customWidth="1"/>
    <col min="5906" max="5907" width="13.28515625" customWidth="1"/>
    <col min="5910" max="5910" width="10.140625" bestFit="1" customWidth="1"/>
    <col min="5911" max="5911" width="11.42578125" bestFit="1" customWidth="1"/>
    <col min="5913" max="5913" width="12.140625" customWidth="1"/>
    <col min="6145" max="6145" width="47" customWidth="1"/>
    <col min="6146" max="6157" width="0" hidden="1" customWidth="1"/>
    <col min="6158" max="6159" width="14.42578125" customWidth="1"/>
    <col min="6160" max="6160" width="13.140625" customWidth="1"/>
    <col min="6161" max="6161" width="10.85546875" customWidth="1"/>
    <col min="6162" max="6163" width="13.28515625" customWidth="1"/>
    <col min="6166" max="6166" width="10.140625" bestFit="1" customWidth="1"/>
    <col min="6167" max="6167" width="11.42578125" bestFit="1" customWidth="1"/>
    <col min="6169" max="6169" width="12.140625" customWidth="1"/>
    <col min="6401" max="6401" width="47" customWidth="1"/>
    <col min="6402" max="6413" width="0" hidden="1" customWidth="1"/>
    <col min="6414" max="6415" width="14.42578125" customWidth="1"/>
    <col min="6416" max="6416" width="13.140625" customWidth="1"/>
    <col min="6417" max="6417" width="10.85546875" customWidth="1"/>
    <col min="6418" max="6419" width="13.28515625" customWidth="1"/>
    <col min="6422" max="6422" width="10.140625" bestFit="1" customWidth="1"/>
    <col min="6423" max="6423" width="11.42578125" bestFit="1" customWidth="1"/>
    <col min="6425" max="6425" width="12.140625" customWidth="1"/>
    <col min="6657" max="6657" width="47" customWidth="1"/>
    <col min="6658" max="6669" width="0" hidden="1" customWidth="1"/>
    <col min="6670" max="6671" width="14.42578125" customWidth="1"/>
    <col min="6672" max="6672" width="13.140625" customWidth="1"/>
    <col min="6673" max="6673" width="10.85546875" customWidth="1"/>
    <col min="6674" max="6675" width="13.28515625" customWidth="1"/>
    <col min="6678" max="6678" width="10.140625" bestFit="1" customWidth="1"/>
    <col min="6679" max="6679" width="11.42578125" bestFit="1" customWidth="1"/>
    <col min="6681" max="6681" width="12.140625" customWidth="1"/>
    <col min="6913" max="6913" width="47" customWidth="1"/>
    <col min="6914" max="6925" width="0" hidden="1" customWidth="1"/>
    <col min="6926" max="6927" width="14.42578125" customWidth="1"/>
    <col min="6928" max="6928" width="13.140625" customWidth="1"/>
    <col min="6929" max="6929" width="10.85546875" customWidth="1"/>
    <col min="6930" max="6931" width="13.28515625" customWidth="1"/>
    <col min="6934" max="6934" width="10.140625" bestFit="1" customWidth="1"/>
    <col min="6935" max="6935" width="11.42578125" bestFit="1" customWidth="1"/>
    <col min="6937" max="6937" width="12.140625" customWidth="1"/>
    <col min="7169" max="7169" width="47" customWidth="1"/>
    <col min="7170" max="7181" width="0" hidden="1" customWidth="1"/>
    <col min="7182" max="7183" width="14.42578125" customWidth="1"/>
    <col min="7184" max="7184" width="13.140625" customWidth="1"/>
    <col min="7185" max="7185" width="10.85546875" customWidth="1"/>
    <col min="7186" max="7187" width="13.28515625" customWidth="1"/>
    <col min="7190" max="7190" width="10.140625" bestFit="1" customWidth="1"/>
    <col min="7191" max="7191" width="11.42578125" bestFit="1" customWidth="1"/>
    <col min="7193" max="7193" width="12.140625" customWidth="1"/>
    <col min="7425" max="7425" width="47" customWidth="1"/>
    <col min="7426" max="7437" width="0" hidden="1" customWidth="1"/>
    <col min="7438" max="7439" width="14.42578125" customWidth="1"/>
    <col min="7440" max="7440" width="13.140625" customWidth="1"/>
    <col min="7441" max="7441" width="10.85546875" customWidth="1"/>
    <col min="7442" max="7443" width="13.28515625" customWidth="1"/>
    <col min="7446" max="7446" width="10.140625" bestFit="1" customWidth="1"/>
    <col min="7447" max="7447" width="11.42578125" bestFit="1" customWidth="1"/>
    <col min="7449" max="7449" width="12.140625" customWidth="1"/>
    <col min="7681" max="7681" width="47" customWidth="1"/>
    <col min="7682" max="7693" width="0" hidden="1" customWidth="1"/>
    <col min="7694" max="7695" width="14.42578125" customWidth="1"/>
    <col min="7696" max="7696" width="13.140625" customWidth="1"/>
    <col min="7697" max="7697" width="10.85546875" customWidth="1"/>
    <col min="7698" max="7699" width="13.28515625" customWidth="1"/>
    <col min="7702" max="7702" width="10.140625" bestFit="1" customWidth="1"/>
    <col min="7703" max="7703" width="11.42578125" bestFit="1" customWidth="1"/>
    <col min="7705" max="7705" width="12.140625" customWidth="1"/>
    <col min="7937" max="7937" width="47" customWidth="1"/>
    <col min="7938" max="7949" width="0" hidden="1" customWidth="1"/>
    <col min="7950" max="7951" width="14.42578125" customWidth="1"/>
    <col min="7952" max="7952" width="13.140625" customWidth="1"/>
    <col min="7953" max="7953" width="10.85546875" customWidth="1"/>
    <col min="7954" max="7955" width="13.28515625" customWidth="1"/>
    <col min="7958" max="7958" width="10.140625" bestFit="1" customWidth="1"/>
    <col min="7959" max="7959" width="11.42578125" bestFit="1" customWidth="1"/>
    <col min="7961" max="7961" width="12.140625" customWidth="1"/>
    <col min="8193" max="8193" width="47" customWidth="1"/>
    <col min="8194" max="8205" width="0" hidden="1" customWidth="1"/>
    <col min="8206" max="8207" width="14.42578125" customWidth="1"/>
    <col min="8208" max="8208" width="13.140625" customWidth="1"/>
    <col min="8209" max="8209" width="10.85546875" customWidth="1"/>
    <col min="8210" max="8211" width="13.28515625" customWidth="1"/>
    <col min="8214" max="8214" width="10.140625" bestFit="1" customWidth="1"/>
    <col min="8215" max="8215" width="11.42578125" bestFit="1" customWidth="1"/>
    <col min="8217" max="8217" width="12.140625" customWidth="1"/>
    <col min="8449" max="8449" width="47" customWidth="1"/>
    <col min="8450" max="8461" width="0" hidden="1" customWidth="1"/>
    <col min="8462" max="8463" width="14.42578125" customWidth="1"/>
    <col min="8464" max="8464" width="13.140625" customWidth="1"/>
    <col min="8465" max="8465" width="10.85546875" customWidth="1"/>
    <col min="8466" max="8467" width="13.28515625" customWidth="1"/>
    <col min="8470" max="8470" width="10.140625" bestFit="1" customWidth="1"/>
    <col min="8471" max="8471" width="11.42578125" bestFit="1" customWidth="1"/>
    <col min="8473" max="8473" width="12.140625" customWidth="1"/>
    <col min="8705" max="8705" width="47" customWidth="1"/>
    <col min="8706" max="8717" width="0" hidden="1" customWidth="1"/>
    <col min="8718" max="8719" width="14.42578125" customWidth="1"/>
    <col min="8720" max="8720" width="13.140625" customWidth="1"/>
    <col min="8721" max="8721" width="10.85546875" customWidth="1"/>
    <col min="8722" max="8723" width="13.28515625" customWidth="1"/>
    <col min="8726" max="8726" width="10.140625" bestFit="1" customWidth="1"/>
    <col min="8727" max="8727" width="11.42578125" bestFit="1" customWidth="1"/>
    <col min="8729" max="8729" width="12.140625" customWidth="1"/>
    <col min="8961" max="8961" width="47" customWidth="1"/>
    <col min="8962" max="8973" width="0" hidden="1" customWidth="1"/>
    <col min="8974" max="8975" width="14.42578125" customWidth="1"/>
    <col min="8976" max="8976" width="13.140625" customWidth="1"/>
    <col min="8977" max="8977" width="10.85546875" customWidth="1"/>
    <col min="8978" max="8979" width="13.28515625" customWidth="1"/>
    <col min="8982" max="8982" width="10.140625" bestFit="1" customWidth="1"/>
    <col min="8983" max="8983" width="11.42578125" bestFit="1" customWidth="1"/>
    <col min="8985" max="8985" width="12.140625" customWidth="1"/>
    <col min="9217" max="9217" width="47" customWidth="1"/>
    <col min="9218" max="9229" width="0" hidden="1" customWidth="1"/>
    <col min="9230" max="9231" width="14.42578125" customWidth="1"/>
    <col min="9232" max="9232" width="13.140625" customWidth="1"/>
    <col min="9233" max="9233" width="10.85546875" customWidth="1"/>
    <col min="9234" max="9235" width="13.28515625" customWidth="1"/>
    <col min="9238" max="9238" width="10.140625" bestFit="1" customWidth="1"/>
    <col min="9239" max="9239" width="11.42578125" bestFit="1" customWidth="1"/>
    <col min="9241" max="9241" width="12.140625" customWidth="1"/>
    <col min="9473" max="9473" width="47" customWidth="1"/>
    <col min="9474" max="9485" width="0" hidden="1" customWidth="1"/>
    <col min="9486" max="9487" width="14.42578125" customWidth="1"/>
    <col min="9488" max="9488" width="13.140625" customWidth="1"/>
    <col min="9489" max="9489" width="10.85546875" customWidth="1"/>
    <col min="9490" max="9491" width="13.28515625" customWidth="1"/>
    <col min="9494" max="9494" width="10.140625" bestFit="1" customWidth="1"/>
    <col min="9495" max="9495" width="11.42578125" bestFit="1" customWidth="1"/>
    <col min="9497" max="9497" width="12.140625" customWidth="1"/>
    <col min="9729" max="9729" width="47" customWidth="1"/>
    <col min="9730" max="9741" width="0" hidden="1" customWidth="1"/>
    <col min="9742" max="9743" width="14.42578125" customWidth="1"/>
    <col min="9744" max="9744" width="13.140625" customWidth="1"/>
    <col min="9745" max="9745" width="10.85546875" customWidth="1"/>
    <col min="9746" max="9747" width="13.28515625" customWidth="1"/>
    <col min="9750" max="9750" width="10.140625" bestFit="1" customWidth="1"/>
    <col min="9751" max="9751" width="11.42578125" bestFit="1" customWidth="1"/>
    <col min="9753" max="9753" width="12.140625" customWidth="1"/>
    <col min="9985" max="9985" width="47" customWidth="1"/>
    <col min="9986" max="9997" width="0" hidden="1" customWidth="1"/>
    <col min="9998" max="9999" width="14.42578125" customWidth="1"/>
    <col min="10000" max="10000" width="13.140625" customWidth="1"/>
    <col min="10001" max="10001" width="10.85546875" customWidth="1"/>
    <col min="10002" max="10003" width="13.28515625" customWidth="1"/>
    <col min="10006" max="10006" width="10.140625" bestFit="1" customWidth="1"/>
    <col min="10007" max="10007" width="11.42578125" bestFit="1" customWidth="1"/>
    <col min="10009" max="10009" width="12.140625" customWidth="1"/>
    <col min="10241" max="10241" width="47" customWidth="1"/>
    <col min="10242" max="10253" width="0" hidden="1" customWidth="1"/>
    <col min="10254" max="10255" width="14.42578125" customWidth="1"/>
    <col min="10256" max="10256" width="13.140625" customWidth="1"/>
    <col min="10257" max="10257" width="10.85546875" customWidth="1"/>
    <col min="10258" max="10259" width="13.28515625" customWidth="1"/>
    <col min="10262" max="10262" width="10.140625" bestFit="1" customWidth="1"/>
    <col min="10263" max="10263" width="11.42578125" bestFit="1" customWidth="1"/>
    <col min="10265" max="10265" width="12.140625" customWidth="1"/>
    <col min="10497" max="10497" width="47" customWidth="1"/>
    <col min="10498" max="10509" width="0" hidden="1" customWidth="1"/>
    <col min="10510" max="10511" width="14.42578125" customWidth="1"/>
    <col min="10512" max="10512" width="13.140625" customWidth="1"/>
    <col min="10513" max="10513" width="10.85546875" customWidth="1"/>
    <col min="10514" max="10515" width="13.28515625" customWidth="1"/>
    <col min="10518" max="10518" width="10.140625" bestFit="1" customWidth="1"/>
    <col min="10519" max="10519" width="11.42578125" bestFit="1" customWidth="1"/>
    <col min="10521" max="10521" width="12.140625" customWidth="1"/>
    <col min="10753" max="10753" width="47" customWidth="1"/>
    <col min="10754" max="10765" width="0" hidden="1" customWidth="1"/>
    <col min="10766" max="10767" width="14.42578125" customWidth="1"/>
    <col min="10768" max="10768" width="13.140625" customWidth="1"/>
    <col min="10769" max="10769" width="10.85546875" customWidth="1"/>
    <col min="10770" max="10771" width="13.28515625" customWidth="1"/>
    <col min="10774" max="10774" width="10.140625" bestFit="1" customWidth="1"/>
    <col min="10775" max="10775" width="11.42578125" bestFit="1" customWidth="1"/>
    <col min="10777" max="10777" width="12.140625" customWidth="1"/>
    <col min="11009" max="11009" width="47" customWidth="1"/>
    <col min="11010" max="11021" width="0" hidden="1" customWidth="1"/>
    <col min="11022" max="11023" width="14.42578125" customWidth="1"/>
    <col min="11024" max="11024" width="13.140625" customWidth="1"/>
    <col min="11025" max="11025" width="10.85546875" customWidth="1"/>
    <col min="11026" max="11027" width="13.28515625" customWidth="1"/>
    <col min="11030" max="11030" width="10.140625" bestFit="1" customWidth="1"/>
    <col min="11031" max="11031" width="11.42578125" bestFit="1" customWidth="1"/>
    <col min="11033" max="11033" width="12.140625" customWidth="1"/>
    <col min="11265" max="11265" width="47" customWidth="1"/>
    <col min="11266" max="11277" width="0" hidden="1" customWidth="1"/>
    <col min="11278" max="11279" width="14.42578125" customWidth="1"/>
    <col min="11280" max="11280" width="13.140625" customWidth="1"/>
    <col min="11281" max="11281" width="10.85546875" customWidth="1"/>
    <col min="11282" max="11283" width="13.28515625" customWidth="1"/>
    <col min="11286" max="11286" width="10.140625" bestFit="1" customWidth="1"/>
    <col min="11287" max="11287" width="11.42578125" bestFit="1" customWidth="1"/>
    <col min="11289" max="11289" width="12.140625" customWidth="1"/>
    <col min="11521" max="11521" width="47" customWidth="1"/>
    <col min="11522" max="11533" width="0" hidden="1" customWidth="1"/>
    <col min="11534" max="11535" width="14.42578125" customWidth="1"/>
    <col min="11536" max="11536" width="13.140625" customWidth="1"/>
    <col min="11537" max="11537" width="10.85546875" customWidth="1"/>
    <col min="11538" max="11539" width="13.28515625" customWidth="1"/>
    <col min="11542" max="11542" width="10.140625" bestFit="1" customWidth="1"/>
    <col min="11543" max="11543" width="11.42578125" bestFit="1" customWidth="1"/>
    <col min="11545" max="11545" width="12.140625" customWidth="1"/>
    <col min="11777" max="11777" width="47" customWidth="1"/>
    <col min="11778" max="11789" width="0" hidden="1" customWidth="1"/>
    <col min="11790" max="11791" width="14.42578125" customWidth="1"/>
    <col min="11792" max="11792" width="13.140625" customWidth="1"/>
    <col min="11793" max="11793" width="10.85546875" customWidth="1"/>
    <col min="11794" max="11795" width="13.28515625" customWidth="1"/>
    <col min="11798" max="11798" width="10.140625" bestFit="1" customWidth="1"/>
    <col min="11799" max="11799" width="11.42578125" bestFit="1" customWidth="1"/>
    <col min="11801" max="11801" width="12.140625" customWidth="1"/>
    <col min="12033" max="12033" width="47" customWidth="1"/>
    <col min="12034" max="12045" width="0" hidden="1" customWidth="1"/>
    <col min="12046" max="12047" width="14.42578125" customWidth="1"/>
    <col min="12048" max="12048" width="13.140625" customWidth="1"/>
    <col min="12049" max="12049" width="10.85546875" customWidth="1"/>
    <col min="12050" max="12051" width="13.28515625" customWidth="1"/>
    <col min="12054" max="12054" width="10.140625" bestFit="1" customWidth="1"/>
    <col min="12055" max="12055" width="11.42578125" bestFit="1" customWidth="1"/>
    <col min="12057" max="12057" width="12.140625" customWidth="1"/>
    <col min="12289" max="12289" width="47" customWidth="1"/>
    <col min="12290" max="12301" width="0" hidden="1" customWidth="1"/>
    <col min="12302" max="12303" width="14.42578125" customWidth="1"/>
    <col min="12304" max="12304" width="13.140625" customWidth="1"/>
    <col min="12305" max="12305" width="10.85546875" customWidth="1"/>
    <col min="12306" max="12307" width="13.28515625" customWidth="1"/>
    <col min="12310" max="12310" width="10.140625" bestFit="1" customWidth="1"/>
    <col min="12311" max="12311" width="11.42578125" bestFit="1" customWidth="1"/>
    <col min="12313" max="12313" width="12.140625" customWidth="1"/>
    <col min="12545" max="12545" width="47" customWidth="1"/>
    <col min="12546" max="12557" width="0" hidden="1" customWidth="1"/>
    <col min="12558" max="12559" width="14.42578125" customWidth="1"/>
    <col min="12560" max="12560" width="13.140625" customWidth="1"/>
    <col min="12561" max="12561" width="10.85546875" customWidth="1"/>
    <col min="12562" max="12563" width="13.28515625" customWidth="1"/>
    <col min="12566" max="12566" width="10.140625" bestFit="1" customWidth="1"/>
    <col min="12567" max="12567" width="11.42578125" bestFit="1" customWidth="1"/>
    <col min="12569" max="12569" width="12.140625" customWidth="1"/>
    <col min="12801" max="12801" width="47" customWidth="1"/>
    <col min="12802" max="12813" width="0" hidden="1" customWidth="1"/>
    <col min="12814" max="12815" width="14.42578125" customWidth="1"/>
    <col min="12816" max="12816" width="13.140625" customWidth="1"/>
    <col min="12817" max="12817" width="10.85546875" customWidth="1"/>
    <col min="12818" max="12819" width="13.28515625" customWidth="1"/>
    <col min="12822" max="12822" width="10.140625" bestFit="1" customWidth="1"/>
    <col min="12823" max="12823" width="11.42578125" bestFit="1" customWidth="1"/>
    <col min="12825" max="12825" width="12.140625" customWidth="1"/>
    <col min="13057" max="13057" width="47" customWidth="1"/>
    <col min="13058" max="13069" width="0" hidden="1" customWidth="1"/>
    <col min="13070" max="13071" width="14.42578125" customWidth="1"/>
    <col min="13072" max="13072" width="13.140625" customWidth="1"/>
    <col min="13073" max="13073" width="10.85546875" customWidth="1"/>
    <col min="13074" max="13075" width="13.28515625" customWidth="1"/>
    <col min="13078" max="13078" width="10.140625" bestFit="1" customWidth="1"/>
    <col min="13079" max="13079" width="11.42578125" bestFit="1" customWidth="1"/>
    <col min="13081" max="13081" width="12.140625" customWidth="1"/>
    <col min="13313" max="13313" width="47" customWidth="1"/>
    <col min="13314" max="13325" width="0" hidden="1" customWidth="1"/>
    <col min="13326" max="13327" width="14.42578125" customWidth="1"/>
    <col min="13328" max="13328" width="13.140625" customWidth="1"/>
    <col min="13329" max="13329" width="10.85546875" customWidth="1"/>
    <col min="13330" max="13331" width="13.28515625" customWidth="1"/>
    <col min="13334" max="13334" width="10.140625" bestFit="1" customWidth="1"/>
    <col min="13335" max="13335" width="11.42578125" bestFit="1" customWidth="1"/>
    <col min="13337" max="13337" width="12.140625" customWidth="1"/>
    <col min="13569" max="13569" width="47" customWidth="1"/>
    <col min="13570" max="13581" width="0" hidden="1" customWidth="1"/>
    <col min="13582" max="13583" width="14.42578125" customWidth="1"/>
    <col min="13584" max="13584" width="13.140625" customWidth="1"/>
    <col min="13585" max="13585" width="10.85546875" customWidth="1"/>
    <col min="13586" max="13587" width="13.28515625" customWidth="1"/>
    <col min="13590" max="13590" width="10.140625" bestFit="1" customWidth="1"/>
    <col min="13591" max="13591" width="11.42578125" bestFit="1" customWidth="1"/>
    <col min="13593" max="13593" width="12.140625" customWidth="1"/>
    <col min="13825" max="13825" width="47" customWidth="1"/>
    <col min="13826" max="13837" width="0" hidden="1" customWidth="1"/>
    <col min="13838" max="13839" width="14.42578125" customWidth="1"/>
    <col min="13840" max="13840" width="13.140625" customWidth="1"/>
    <col min="13841" max="13841" width="10.85546875" customWidth="1"/>
    <col min="13842" max="13843" width="13.28515625" customWidth="1"/>
    <col min="13846" max="13846" width="10.140625" bestFit="1" customWidth="1"/>
    <col min="13847" max="13847" width="11.42578125" bestFit="1" customWidth="1"/>
    <col min="13849" max="13849" width="12.140625" customWidth="1"/>
    <col min="14081" max="14081" width="47" customWidth="1"/>
    <col min="14082" max="14093" width="0" hidden="1" customWidth="1"/>
    <col min="14094" max="14095" width="14.42578125" customWidth="1"/>
    <col min="14096" max="14096" width="13.140625" customWidth="1"/>
    <col min="14097" max="14097" width="10.85546875" customWidth="1"/>
    <col min="14098" max="14099" width="13.28515625" customWidth="1"/>
    <col min="14102" max="14102" width="10.140625" bestFit="1" customWidth="1"/>
    <col min="14103" max="14103" width="11.42578125" bestFit="1" customWidth="1"/>
    <col min="14105" max="14105" width="12.140625" customWidth="1"/>
    <col min="14337" max="14337" width="47" customWidth="1"/>
    <col min="14338" max="14349" width="0" hidden="1" customWidth="1"/>
    <col min="14350" max="14351" width="14.42578125" customWidth="1"/>
    <col min="14352" max="14352" width="13.140625" customWidth="1"/>
    <col min="14353" max="14353" width="10.85546875" customWidth="1"/>
    <col min="14354" max="14355" width="13.28515625" customWidth="1"/>
    <col min="14358" max="14358" width="10.140625" bestFit="1" customWidth="1"/>
    <col min="14359" max="14359" width="11.42578125" bestFit="1" customWidth="1"/>
    <col min="14361" max="14361" width="12.140625" customWidth="1"/>
    <col min="14593" max="14593" width="47" customWidth="1"/>
    <col min="14594" max="14605" width="0" hidden="1" customWidth="1"/>
    <col min="14606" max="14607" width="14.42578125" customWidth="1"/>
    <col min="14608" max="14608" width="13.140625" customWidth="1"/>
    <col min="14609" max="14609" width="10.85546875" customWidth="1"/>
    <col min="14610" max="14611" width="13.28515625" customWidth="1"/>
    <col min="14614" max="14614" width="10.140625" bestFit="1" customWidth="1"/>
    <col min="14615" max="14615" width="11.42578125" bestFit="1" customWidth="1"/>
    <col min="14617" max="14617" width="12.140625" customWidth="1"/>
    <col min="14849" max="14849" width="47" customWidth="1"/>
    <col min="14850" max="14861" width="0" hidden="1" customWidth="1"/>
    <col min="14862" max="14863" width="14.42578125" customWidth="1"/>
    <col min="14864" max="14864" width="13.140625" customWidth="1"/>
    <col min="14865" max="14865" width="10.85546875" customWidth="1"/>
    <col min="14866" max="14867" width="13.28515625" customWidth="1"/>
    <col min="14870" max="14870" width="10.140625" bestFit="1" customWidth="1"/>
    <col min="14871" max="14871" width="11.42578125" bestFit="1" customWidth="1"/>
    <col min="14873" max="14873" width="12.140625" customWidth="1"/>
    <col min="15105" max="15105" width="47" customWidth="1"/>
    <col min="15106" max="15117" width="0" hidden="1" customWidth="1"/>
    <col min="15118" max="15119" width="14.42578125" customWidth="1"/>
    <col min="15120" max="15120" width="13.140625" customWidth="1"/>
    <col min="15121" max="15121" width="10.85546875" customWidth="1"/>
    <col min="15122" max="15123" width="13.28515625" customWidth="1"/>
    <col min="15126" max="15126" width="10.140625" bestFit="1" customWidth="1"/>
    <col min="15127" max="15127" width="11.42578125" bestFit="1" customWidth="1"/>
    <col min="15129" max="15129" width="12.140625" customWidth="1"/>
    <col min="15361" max="15361" width="47" customWidth="1"/>
    <col min="15362" max="15373" width="0" hidden="1" customWidth="1"/>
    <col min="15374" max="15375" width="14.42578125" customWidth="1"/>
    <col min="15376" max="15376" width="13.140625" customWidth="1"/>
    <col min="15377" max="15377" width="10.85546875" customWidth="1"/>
    <col min="15378" max="15379" width="13.28515625" customWidth="1"/>
    <col min="15382" max="15382" width="10.140625" bestFit="1" customWidth="1"/>
    <col min="15383" max="15383" width="11.42578125" bestFit="1" customWidth="1"/>
    <col min="15385" max="15385" width="12.140625" customWidth="1"/>
    <col min="15617" max="15617" width="47" customWidth="1"/>
    <col min="15618" max="15629" width="0" hidden="1" customWidth="1"/>
    <col min="15630" max="15631" width="14.42578125" customWidth="1"/>
    <col min="15632" max="15632" width="13.140625" customWidth="1"/>
    <col min="15633" max="15633" width="10.85546875" customWidth="1"/>
    <col min="15634" max="15635" width="13.28515625" customWidth="1"/>
    <col min="15638" max="15638" width="10.140625" bestFit="1" customWidth="1"/>
    <col min="15639" max="15639" width="11.42578125" bestFit="1" customWidth="1"/>
    <col min="15641" max="15641" width="12.140625" customWidth="1"/>
    <col min="15873" max="15873" width="47" customWidth="1"/>
    <col min="15874" max="15885" width="0" hidden="1" customWidth="1"/>
    <col min="15886" max="15887" width="14.42578125" customWidth="1"/>
    <col min="15888" max="15888" width="13.140625" customWidth="1"/>
    <col min="15889" max="15889" width="10.85546875" customWidth="1"/>
    <col min="15890" max="15891" width="13.28515625" customWidth="1"/>
    <col min="15894" max="15894" width="10.140625" bestFit="1" customWidth="1"/>
    <col min="15895" max="15895" width="11.42578125" bestFit="1" customWidth="1"/>
    <col min="15897" max="15897" width="12.140625" customWidth="1"/>
    <col min="16129" max="16129" width="47" customWidth="1"/>
    <col min="16130" max="16141" width="0" hidden="1" customWidth="1"/>
    <col min="16142" max="16143" width="14.42578125" customWidth="1"/>
    <col min="16144" max="16144" width="13.140625" customWidth="1"/>
    <col min="16145" max="16145" width="10.85546875" customWidth="1"/>
    <col min="16146" max="16147" width="13.28515625" customWidth="1"/>
    <col min="16150" max="16150" width="10.140625" bestFit="1" customWidth="1"/>
    <col min="16151" max="16151" width="11.42578125" bestFit="1" customWidth="1"/>
    <col min="16153" max="16153" width="12.140625" customWidth="1"/>
  </cols>
  <sheetData>
    <row r="1" spans="1:26" ht="15.75" x14ac:dyDescent="0.25">
      <c r="A1" s="906" t="s">
        <v>402</v>
      </c>
      <c r="B1" s="906"/>
      <c r="C1" s="906"/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906"/>
      <c r="S1" s="906"/>
    </row>
    <row r="2" spans="1:26" ht="15.75" thickBot="1" x14ac:dyDescent="0.3">
      <c r="A2" s="721"/>
      <c r="B2" s="721"/>
      <c r="C2" s="721"/>
      <c r="D2" s="721"/>
      <c r="E2" s="721"/>
      <c r="F2" s="721"/>
      <c r="G2" s="721"/>
      <c r="H2" s="721"/>
      <c r="I2" s="721"/>
      <c r="J2" s="721"/>
      <c r="K2" s="721"/>
      <c r="L2" s="549"/>
      <c r="M2" s="549"/>
      <c r="N2" s="549"/>
      <c r="O2" s="549"/>
      <c r="P2" s="550"/>
      <c r="Q2" s="550"/>
    </row>
    <row r="3" spans="1:26" ht="13.5" customHeight="1" thickTop="1" x14ac:dyDescent="0.25">
      <c r="A3" s="903" t="s">
        <v>2</v>
      </c>
      <c r="B3" s="751" t="s">
        <v>122</v>
      </c>
      <c r="C3" s="751" t="s">
        <v>123</v>
      </c>
      <c r="D3" s="751" t="s">
        <v>124</v>
      </c>
      <c r="E3" s="751" t="s">
        <v>125</v>
      </c>
      <c r="F3" s="751" t="s">
        <v>126</v>
      </c>
      <c r="G3" s="751" t="s">
        <v>8</v>
      </c>
      <c r="H3" s="751" t="s">
        <v>9</v>
      </c>
      <c r="I3" s="751" t="s">
        <v>10</v>
      </c>
      <c r="J3" s="751" t="s">
        <v>11</v>
      </c>
      <c r="K3" s="751" t="s">
        <v>12</v>
      </c>
      <c r="L3" s="751" t="s">
        <v>13</v>
      </c>
      <c r="M3" s="751" t="s">
        <v>14</v>
      </c>
      <c r="N3" s="751" t="s">
        <v>15</v>
      </c>
      <c r="O3" s="751" t="s">
        <v>16</v>
      </c>
      <c r="P3" s="849" t="s">
        <v>403</v>
      </c>
      <c r="Q3" s="849" t="s">
        <v>18</v>
      </c>
      <c r="R3" s="849" t="s">
        <v>426</v>
      </c>
      <c r="S3" s="854" t="s">
        <v>427</v>
      </c>
    </row>
    <row r="4" spans="1:26" x14ac:dyDescent="0.25">
      <c r="A4" s="904"/>
      <c r="B4" s="905"/>
      <c r="C4" s="905"/>
      <c r="D4" s="905"/>
      <c r="E4" s="905"/>
      <c r="F4" s="905"/>
      <c r="G4" s="905"/>
      <c r="H4" s="905"/>
      <c r="I4" s="905"/>
      <c r="J4" s="905"/>
      <c r="K4" s="905"/>
      <c r="L4" s="905"/>
      <c r="M4" s="905"/>
      <c r="N4" s="905"/>
      <c r="O4" s="905"/>
      <c r="P4" s="907"/>
      <c r="Q4" s="907"/>
      <c r="R4" s="907"/>
      <c r="S4" s="908"/>
    </row>
    <row r="5" spans="1:26" ht="15.75" thickBot="1" x14ac:dyDescent="0.3">
      <c r="A5" s="904"/>
      <c r="B5" s="752"/>
      <c r="C5" s="752"/>
      <c r="D5" s="752"/>
      <c r="E5" s="752"/>
      <c r="F5" s="752"/>
      <c r="G5" s="752"/>
      <c r="H5" s="752"/>
      <c r="I5" s="752"/>
      <c r="J5" s="752"/>
      <c r="K5" s="752"/>
      <c r="L5" s="752"/>
      <c r="M5" s="752"/>
      <c r="N5" s="752"/>
      <c r="O5" s="752"/>
      <c r="P5" s="850"/>
      <c r="Q5" s="850"/>
      <c r="R5" s="850"/>
      <c r="S5" s="855"/>
    </row>
    <row r="6" spans="1:26" ht="15.75" thickTop="1" x14ac:dyDescent="0.25">
      <c r="A6" s="722" t="s">
        <v>404</v>
      </c>
      <c r="B6" s="593">
        <f>'[1]Bežné príjmy'!D108</f>
        <v>7125871</v>
      </c>
      <c r="C6" s="593">
        <f>'[1]Bežné príjmy'!E108</f>
        <v>7561840</v>
      </c>
      <c r="D6" s="593">
        <f>'[1]Bežné príjmy'!F108</f>
        <v>9082354</v>
      </c>
      <c r="E6" s="593">
        <f>'[1]Bežné príjmy'!G108</f>
        <v>9080838</v>
      </c>
      <c r="F6" s="593">
        <f>'[1]Bežné príjmy'!H108</f>
        <v>8537685</v>
      </c>
      <c r="G6" s="593">
        <f>'[1]Bežné príjmy'!I108</f>
        <v>9096722</v>
      </c>
      <c r="H6" s="593">
        <f>'[1]Bežné príjmy'!J108</f>
        <v>9201831</v>
      </c>
      <c r="I6" s="593">
        <f>'[1]Bežné príjmy'!K108</f>
        <v>9722622</v>
      </c>
      <c r="J6" s="593">
        <f>'[1]Bežné príjmy'!L108</f>
        <v>9640328.2399999984</v>
      </c>
      <c r="K6" s="594">
        <f>'[1]Bežné príjmy'!M108</f>
        <v>10178626.01</v>
      </c>
      <c r="L6" s="594">
        <f>'[1]Bežné príjmy'!N108</f>
        <v>10784511.560000002</v>
      </c>
      <c r="M6" s="594">
        <f>'[1]Bežné príjmy'!O108</f>
        <v>10947354.260000002</v>
      </c>
      <c r="N6" s="593">
        <f>'[1]Bežné príjmy'!P108</f>
        <v>11835790.83</v>
      </c>
      <c r="O6" s="593">
        <f>'[1]Bežné príjmy'!Q108</f>
        <v>12717671</v>
      </c>
      <c r="P6" s="593">
        <f>'[1]Bežné príjmy'!R108</f>
        <v>12332394</v>
      </c>
      <c r="Q6" s="594">
        <f>P6/O6</f>
        <v>0.96970538080439417</v>
      </c>
      <c r="R6" s="593">
        <f>'[1]Bežné príjmy'!T108</f>
        <v>12360557</v>
      </c>
      <c r="S6" s="723">
        <f>'[1]Bežné príjmy'!U108</f>
        <v>12389984</v>
      </c>
      <c r="T6" s="204"/>
      <c r="U6" s="204"/>
      <c r="V6" s="204"/>
      <c r="W6" s="204"/>
      <c r="X6" s="204"/>
      <c r="Y6" s="204"/>
    </row>
    <row r="7" spans="1:26" ht="15.75" thickBot="1" x14ac:dyDescent="0.3">
      <c r="A7" s="724" t="s">
        <v>405</v>
      </c>
      <c r="B7" s="585">
        <f>'[1]bežné výdavky'!D207</f>
        <v>5867125</v>
      </c>
      <c r="C7" s="585">
        <f>'[1]bežné výdavky'!E207</f>
        <v>6460200</v>
      </c>
      <c r="D7" s="585">
        <f>'[1]bežné výdavky'!F207</f>
        <v>7832271</v>
      </c>
      <c r="E7" s="585">
        <f>'[1]bežné výdavky'!G207</f>
        <v>8716285.4299999997</v>
      </c>
      <c r="F7" s="585">
        <f>'[1]bežné výdavky'!H207</f>
        <v>9309387</v>
      </c>
      <c r="G7" s="585">
        <f>'[1]bežné výdavky'!I207</f>
        <v>8743512.1999999993</v>
      </c>
      <c r="H7" s="585">
        <f>'[1]bežné výdavky'!J207</f>
        <v>8908071</v>
      </c>
      <c r="I7" s="585">
        <f>'[1]bežné výdavky'!K207</f>
        <v>8934542</v>
      </c>
      <c r="J7" s="585">
        <f>'[1]bežné výdavky'!L207</f>
        <v>9572545.3800000008</v>
      </c>
      <c r="K7" s="586">
        <f>'[1]bežné výdavky'!M207</f>
        <v>9554914.7999999989</v>
      </c>
      <c r="L7" s="586">
        <f>'[1]bežné výdavky'!N207</f>
        <v>9695081.3400000017</v>
      </c>
      <c r="M7" s="586">
        <f>'[1]bežné výdavky'!O207</f>
        <v>10029034.879999999</v>
      </c>
      <c r="N7" s="585">
        <f>'[1]bežné výdavky'!P207</f>
        <v>10815176.439999999</v>
      </c>
      <c r="O7" s="585">
        <f>'[1]bežné výdavky'!Q207</f>
        <v>12041710</v>
      </c>
      <c r="P7" s="585">
        <f>'[1]bežné výdavky'!R207</f>
        <v>11824420</v>
      </c>
      <c r="Q7" s="586">
        <f>P7/O7</f>
        <v>0.98195522064557272</v>
      </c>
      <c r="R7" s="585">
        <f>'[1]bežné výdavky'!T207</f>
        <v>11854256</v>
      </c>
      <c r="S7" s="720">
        <f>'[1]bežné výdavky'!U207</f>
        <v>11883683</v>
      </c>
      <c r="T7" s="204"/>
      <c r="U7" s="204"/>
      <c r="V7" s="204"/>
      <c r="W7" s="204"/>
      <c r="X7" s="204"/>
      <c r="Y7" s="204"/>
    </row>
    <row r="8" spans="1:26" ht="15.75" thickBot="1" x14ac:dyDescent="0.3">
      <c r="A8" s="725" t="s">
        <v>406</v>
      </c>
      <c r="B8" s="595">
        <f t="shared" ref="B8:K8" si="0">B6-B7</f>
        <v>1258746</v>
      </c>
      <c r="C8" s="595">
        <f t="shared" si="0"/>
        <v>1101640</v>
      </c>
      <c r="D8" s="595">
        <f t="shared" si="0"/>
        <v>1250083</v>
      </c>
      <c r="E8" s="595">
        <f t="shared" si="0"/>
        <v>364552.5700000003</v>
      </c>
      <c r="F8" s="595">
        <f t="shared" si="0"/>
        <v>-771702</v>
      </c>
      <c r="G8" s="595">
        <f t="shared" si="0"/>
        <v>353209.80000000075</v>
      </c>
      <c r="H8" s="595">
        <f t="shared" si="0"/>
        <v>293760</v>
      </c>
      <c r="I8" s="595">
        <f t="shared" si="0"/>
        <v>788080</v>
      </c>
      <c r="J8" s="596">
        <f t="shared" si="0"/>
        <v>67782.859999997541</v>
      </c>
      <c r="K8" s="596">
        <f t="shared" si="0"/>
        <v>623711.21000000089</v>
      </c>
      <c r="L8" s="596">
        <f>L6-L7</f>
        <v>1089430.2200000007</v>
      </c>
      <c r="M8" s="596">
        <f>M6-M7</f>
        <v>918319.38000000268</v>
      </c>
      <c r="N8" s="595">
        <f>N6-N7</f>
        <v>1020614.3900000006</v>
      </c>
      <c r="O8" s="595">
        <f>O6-O7</f>
        <v>675961</v>
      </c>
      <c r="P8" s="595">
        <f>P6-P7</f>
        <v>507974</v>
      </c>
      <c r="Q8" s="596"/>
      <c r="R8" s="595">
        <f>R6-R7</f>
        <v>506301</v>
      </c>
      <c r="S8" s="726">
        <f>S6-S7</f>
        <v>506301</v>
      </c>
      <c r="V8" s="204"/>
      <c r="W8" s="204"/>
    </row>
    <row r="9" spans="1:26" ht="16.5" thickTop="1" thickBot="1" x14ac:dyDescent="0.3">
      <c r="A9" s="909"/>
      <c r="B9" s="910"/>
      <c r="C9" s="910"/>
      <c r="D9" s="910"/>
      <c r="E9" s="910"/>
      <c r="F9" s="910"/>
      <c r="G9" s="910"/>
      <c r="H9" s="910"/>
      <c r="I9" s="910"/>
      <c r="J9" s="910"/>
      <c r="K9" s="910"/>
      <c r="L9" s="910"/>
      <c r="M9" s="910"/>
      <c r="N9" s="910"/>
      <c r="O9" s="910"/>
      <c r="P9" s="910"/>
      <c r="Q9" s="910"/>
      <c r="R9" s="910"/>
      <c r="S9" s="911"/>
      <c r="V9" s="204"/>
      <c r="W9" s="204"/>
    </row>
    <row r="10" spans="1:26" ht="15.75" thickTop="1" x14ac:dyDescent="0.25">
      <c r="A10" s="722" t="s">
        <v>407</v>
      </c>
      <c r="B10" s="593">
        <f>'[1]Kapitálové príjmy'!D52</f>
        <v>2113092</v>
      </c>
      <c r="C10" s="593">
        <f>'[1]Kapitálové príjmy'!E52</f>
        <v>1017958</v>
      </c>
      <c r="D10" s="593">
        <f>'[1]Kapitálové príjmy'!F52</f>
        <v>1245369</v>
      </c>
      <c r="E10" s="593">
        <f>'[1]Kapitálové príjmy'!G52</f>
        <v>4391413</v>
      </c>
      <c r="F10" s="593">
        <f>'[1]Kapitálové príjmy'!H52</f>
        <v>3456141</v>
      </c>
      <c r="G10" s="593">
        <f>'[1]Kapitálové príjmy'!I52</f>
        <v>4649713</v>
      </c>
      <c r="H10" s="593">
        <f>'[1]Kapitálové príjmy'!J52</f>
        <v>4502774.0599999996</v>
      </c>
      <c r="I10" s="593">
        <f>'[1]Kapitálové príjmy'!K52</f>
        <v>3678497</v>
      </c>
      <c r="J10" s="593">
        <f>'[1]Kapitálové príjmy'!L52</f>
        <v>1218338.5899999999</v>
      </c>
      <c r="K10" s="594">
        <f>'[1]Kapitálové príjmy'!M52</f>
        <v>752297.52</v>
      </c>
      <c r="L10" s="594">
        <f>'[1]Kapitálové príjmy'!N52</f>
        <v>935536.18</v>
      </c>
      <c r="M10" s="594">
        <f>'[1]Kapitálové príjmy'!O52</f>
        <v>1696241.7999999998</v>
      </c>
      <c r="N10" s="593">
        <f>'[1]Kapitálové príjmy'!P52</f>
        <v>2123247.52</v>
      </c>
      <c r="O10" s="593">
        <f>'[1]Kapitálové príjmy'!Q52</f>
        <v>1884232</v>
      </c>
      <c r="P10" s="593">
        <f>'[1]Kapitálové príjmy'!R52</f>
        <v>160000</v>
      </c>
      <c r="Q10" s="594">
        <f>'[1]Kapitálové príjmy'!S52</f>
        <v>0.1710249196348558</v>
      </c>
      <c r="R10" s="593">
        <f>'[1]Kapitálové príjmy'!T52</f>
        <v>0</v>
      </c>
      <c r="S10" s="723">
        <f>'[1]Kapitálové príjmy'!U52</f>
        <v>0</v>
      </c>
      <c r="V10" s="204"/>
      <c r="W10" s="204"/>
      <c r="X10" s="204"/>
      <c r="Y10" s="204"/>
    </row>
    <row r="11" spans="1:26" ht="15.75" thickBot="1" x14ac:dyDescent="0.3">
      <c r="A11" s="724" t="s">
        <v>408</v>
      </c>
      <c r="B11" s="585">
        <f>'[1]Kapitálové výdavky'!D139</f>
        <v>2988050</v>
      </c>
      <c r="C11" s="585">
        <f>'[1]Kapitálové výdavky'!E139</f>
        <v>1793069</v>
      </c>
      <c r="D11" s="585">
        <f>'[1]Kapitálové výdavky'!F139</f>
        <v>2942409</v>
      </c>
      <c r="E11" s="585">
        <f>'[1]Kapitálové výdavky'!G139</f>
        <v>4880528</v>
      </c>
      <c r="F11" s="585">
        <f>'[1]Kapitálové výdavky'!H139</f>
        <v>5977301</v>
      </c>
      <c r="G11" s="585">
        <f>'[1]Kapitálové výdavky'!I139</f>
        <v>5818483</v>
      </c>
      <c r="H11" s="585">
        <f>'[1]Kapitálové výdavky'!J139</f>
        <v>4719096</v>
      </c>
      <c r="I11" s="585">
        <f>'[1]Kapitálové výdavky'!K139</f>
        <v>3939694</v>
      </c>
      <c r="J11" s="585">
        <f>'[1]Kapitálové výdavky'!L139</f>
        <v>1800938.79</v>
      </c>
      <c r="K11" s="586">
        <f>'[1]Kapitálové výdavky'!M139</f>
        <v>2904600.1800000006</v>
      </c>
      <c r="L11" s="586">
        <f>'[1]Kapitálové výdavky'!N139</f>
        <v>1348818.6500000001</v>
      </c>
      <c r="M11" s="586">
        <f>'[1]Kapitálové výdavky'!O139</f>
        <v>1900647.68</v>
      </c>
      <c r="N11" s="585">
        <f>'[1]Kapitálové výdavky'!P139</f>
        <v>2329182.13</v>
      </c>
      <c r="O11" s="585">
        <f>'[1]Kapitálové výdavky'!Q139</f>
        <v>5008556</v>
      </c>
      <c r="P11" s="585">
        <f>'[1]Kapitálové výdavky'!R139</f>
        <v>2565432</v>
      </c>
      <c r="Q11" s="586">
        <f>P11/O11</f>
        <v>0.51220990640815434</v>
      </c>
      <c r="R11" s="585">
        <f>'[1]Kapitálové výdavky'!T139</f>
        <v>0</v>
      </c>
      <c r="S11" s="720">
        <f>'[1]Kapitálové výdavky'!U139</f>
        <v>0</v>
      </c>
      <c r="V11" s="204"/>
      <c r="W11" s="204"/>
      <c r="X11" s="204"/>
      <c r="Y11" s="204"/>
    </row>
    <row r="12" spans="1:26" ht="15.75" thickBot="1" x14ac:dyDescent="0.3">
      <c r="A12" s="727" t="s">
        <v>409</v>
      </c>
      <c r="B12" s="597">
        <f t="shared" ref="B12:K12" si="1">B10-B11</f>
        <v>-874958</v>
      </c>
      <c r="C12" s="597">
        <f t="shared" si="1"/>
        <v>-775111</v>
      </c>
      <c r="D12" s="597">
        <f t="shared" si="1"/>
        <v>-1697040</v>
      </c>
      <c r="E12" s="597">
        <f t="shared" si="1"/>
        <v>-489115</v>
      </c>
      <c r="F12" s="597">
        <f t="shared" si="1"/>
        <v>-2521160</v>
      </c>
      <c r="G12" s="597">
        <f t="shared" si="1"/>
        <v>-1168770</v>
      </c>
      <c r="H12" s="597">
        <f t="shared" si="1"/>
        <v>-216321.94000000041</v>
      </c>
      <c r="I12" s="597">
        <f t="shared" si="1"/>
        <v>-261197</v>
      </c>
      <c r="J12" s="598">
        <f t="shared" si="1"/>
        <v>-582600.20000000019</v>
      </c>
      <c r="K12" s="598">
        <f t="shared" si="1"/>
        <v>-2152302.6600000006</v>
      </c>
      <c r="L12" s="598">
        <f>L10-L11</f>
        <v>-413282.47000000009</v>
      </c>
      <c r="M12" s="598">
        <f>M10-M11</f>
        <v>-204405.88000000012</v>
      </c>
      <c r="N12" s="597">
        <f>N10-N11</f>
        <v>-205934.60999999987</v>
      </c>
      <c r="O12" s="597">
        <f>O10-O11</f>
        <v>-3124324</v>
      </c>
      <c r="P12" s="597">
        <f>P10-P11</f>
        <v>-2405432</v>
      </c>
      <c r="Q12" s="597"/>
      <c r="R12" s="597">
        <f>R10-R11</f>
        <v>0</v>
      </c>
      <c r="S12" s="728">
        <f>S10-S11</f>
        <v>0</v>
      </c>
      <c r="V12" s="204"/>
      <c r="W12" s="204"/>
      <c r="Y12" s="204"/>
      <c r="Z12" s="204"/>
    </row>
    <row r="13" spans="1:26" ht="16.5" thickTop="1" thickBot="1" x14ac:dyDescent="0.3">
      <c r="A13" s="909"/>
      <c r="B13" s="910"/>
      <c r="C13" s="910"/>
      <c r="D13" s="910"/>
      <c r="E13" s="910"/>
      <c r="F13" s="910"/>
      <c r="G13" s="910"/>
      <c r="H13" s="910"/>
      <c r="I13" s="910"/>
      <c r="J13" s="910"/>
      <c r="K13" s="910"/>
      <c r="L13" s="910"/>
      <c r="M13" s="910"/>
      <c r="N13" s="910"/>
      <c r="O13" s="910"/>
      <c r="P13" s="910"/>
      <c r="Q13" s="910"/>
      <c r="R13" s="910"/>
      <c r="S13" s="911"/>
      <c r="V13" s="204"/>
      <c r="W13" s="204"/>
    </row>
    <row r="14" spans="1:26" ht="15.75" thickTop="1" x14ac:dyDescent="0.25">
      <c r="A14" s="722" t="s">
        <v>410</v>
      </c>
      <c r="B14" s="593">
        <f>'[1]Fin operácie - príjmy'!D16</f>
        <v>499436</v>
      </c>
      <c r="C14" s="593">
        <f>'[1]Fin operácie - príjmy'!E16</f>
        <v>313085</v>
      </c>
      <c r="D14" s="593">
        <f>'[1]Fin operácie - príjmy'!F16</f>
        <v>1640749</v>
      </c>
      <c r="E14" s="593">
        <f>'[1]Fin operácie - príjmy'!G16</f>
        <v>2754938</v>
      </c>
      <c r="F14" s="593">
        <f>'[1]Fin operácie - príjmy'!H16</f>
        <v>4479434</v>
      </c>
      <c r="G14" s="593">
        <f>'[1]Fin operácie - príjmy'!I16</f>
        <v>2266668</v>
      </c>
      <c r="H14" s="593">
        <f>'[1]Fin operácie - príjmy'!J16</f>
        <v>1305406</v>
      </c>
      <c r="I14" s="593">
        <f>'[1]Fin operácie - príjmy'!K16</f>
        <v>1509534</v>
      </c>
      <c r="J14" s="593">
        <f>'[1]Fin operácie - príjmy'!L16</f>
        <v>1300969.1299999999</v>
      </c>
      <c r="K14" s="594">
        <f>'[1]Fin operácie - príjmy'!M16</f>
        <v>2766561.36</v>
      </c>
      <c r="L14" s="594">
        <f>'[1]Fin operácie - príjmy'!N16</f>
        <v>2492133.9299999997</v>
      </c>
      <c r="M14" s="594">
        <f>'[1]Fin operácie - príjmy'!O16</f>
        <v>1267177.1200000001</v>
      </c>
      <c r="N14" s="593">
        <f>'[1]Fin operácie - príjmy'!P16</f>
        <v>1389578.65</v>
      </c>
      <c r="O14" s="593">
        <f>'[1]Fin operácie - príjmy'!Q16</f>
        <v>2904363</v>
      </c>
      <c r="P14" s="593">
        <f>'[1]Fin operácie - príjmy'!R16</f>
        <v>2403759</v>
      </c>
      <c r="Q14" s="594">
        <f>P14/O14</f>
        <v>0.8276372478233609</v>
      </c>
      <c r="R14" s="593">
        <f>'[1]Fin operácie - príjmy'!U16</f>
        <v>0</v>
      </c>
      <c r="S14" s="723">
        <f>'[1]Fin operácie - príjmy'!V16</f>
        <v>0</v>
      </c>
      <c r="U14" s="204"/>
      <c r="V14" s="204"/>
      <c r="W14" s="204"/>
      <c r="X14" s="204"/>
      <c r="Y14" s="204"/>
    </row>
    <row r="15" spans="1:26" ht="15.75" thickBot="1" x14ac:dyDescent="0.3">
      <c r="A15" s="724" t="s">
        <v>411</v>
      </c>
      <c r="B15" s="585">
        <f>'[1]Finančné operácie - výdavky'!D13</f>
        <v>477793</v>
      </c>
      <c r="C15" s="585">
        <f>'[1]Finančné operácie - výdavky'!E13</f>
        <v>470856</v>
      </c>
      <c r="D15" s="585">
        <f>'[1]Finančné operácie - výdavky'!F13</f>
        <v>334085</v>
      </c>
      <c r="E15" s="585">
        <f>'[1]Finančné operácie - výdavky'!G13</f>
        <v>1303204</v>
      </c>
      <c r="F15" s="585">
        <f>'[1]Finančné operácie - výdavky'!H13</f>
        <v>978096</v>
      </c>
      <c r="G15" s="585">
        <f>'[1]Finančné operácie - výdavky'!I13</f>
        <v>1356608</v>
      </c>
      <c r="H15" s="585">
        <f>'[1]Finančné operácie - výdavky'!J13</f>
        <v>1191263</v>
      </c>
      <c r="I15" s="585">
        <f>'[1]Finančné operácie - výdavky'!K13</f>
        <v>977990</v>
      </c>
      <c r="J15" s="585">
        <f>'[1]Finančné operácie - výdavky'!L13</f>
        <v>439019.94999999995</v>
      </c>
      <c r="K15" s="586">
        <f>'[1]Finančné operácie - výdavky'!M13</f>
        <v>540080.30000000005</v>
      </c>
      <c r="L15" s="586">
        <f>'[1]Finančné operácie - výdavky'!N13</f>
        <v>2548753.6599999997</v>
      </c>
      <c r="M15" s="586">
        <f>'[1]Finančné operácie - výdavky'!O13</f>
        <v>484835.82</v>
      </c>
      <c r="N15" s="585">
        <f>'[1]Finančné operácie - výdavky'!P13</f>
        <v>849215.54</v>
      </c>
      <c r="O15" s="585">
        <f>'[1]Finančné operácie - výdavky'!Q13</f>
        <v>456000</v>
      </c>
      <c r="P15" s="585">
        <f>'[1]Finančné operácie - výdavky'!R13</f>
        <v>506301</v>
      </c>
      <c r="Q15" s="586">
        <f>P15/O15</f>
        <v>1.1103092105263157</v>
      </c>
      <c r="R15" s="585">
        <f>'[1]Finančné operácie - výdavky'!T13</f>
        <v>506301</v>
      </c>
      <c r="S15" s="720">
        <f>'[1]Finančné operácie - výdavky'!U13</f>
        <v>506301</v>
      </c>
      <c r="V15" s="204"/>
      <c r="W15" s="204"/>
      <c r="X15" s="204"/>
      <c r="Y15" s="204"/>
    </row>
    <row r="16" spans="1:26" ht="15.75" thickBot="1" x14ac:dyDescent="0.3">
      <c r="A16" s="727" t="s">
        <v>412</v>
      </c>
      <c r="B16" s="597">
        <f t="shared" ref="B16:K16" si="2">B14-B15</f>
        <v>21643</v>
      </c>
      <c r="C16" s="597">
        <f t="shared" si="2"/>
        <v>-157771</v>
      </c>
      <c r="D16" s="597">
        <f t="shared" si="2"/>
        <v>1306664</v>
      </c>
      <c r="E16" s="597">
        <f t="shared" si="2"/>
        <v>1451734</v>
      </c>
      <c r="F16" s="597">
        <f t="shared" si="2"/>
        <v>3501338</v>
      </c>
      <c r="G16" s="597">
        <f t="shared" si="2"/>
        <v>910060</v>
      </c>
      <c r="H16" s="597">
        <f t="shared" si="2"/>
        <v>114143</v>
      </c>
      <c r="I16" s="597">
        <f t="shared" si="2"/>
        <v>531544</v>
      </c>
      <c r="J16" s="598">
        <f t="shared" si="2"/>
        <v>861949.17999999993</v>
      </c>
      <c r="K16" s="598">
        <f t="shared" si="2"/>
        <v>2226481.0599999996</v>
      </c>
      <c r="L16" s="598">
        <f>L14-L15</f>
        <v>-56619.729999999981</v>
      </c>
      <c r="M16" s="598">
        <f>M14-M15</f>
        <v>782341.3</v>
      </c>
      <c r="N16" s="597">
        <f>N14-N15</f>
        <v>540363.10999999987</v>
      </c>
      <c r="O16" s="597">
        <f>O14-O15</f>
        <v>2448363</v>
      </c>
      <c r="P16" s="597">
        <f>P14-P15</f>
        <v>1897458</v>
      </c>
      <c r="Q16" s="597"/>
      <c r="R16" s="597">
        <f>R14-R15</f>
        <v>-506301</v>
      </c>
      <c r="S16" s="728">
        <f>S14-S15</f>
        <v>-506301</v>
      </c>
      <c r="W16" s="204"/>
      <c r="X16" s="204"/>
    </row>
    <row r="17" spans="1:25" ht="16.5" thickTop="1" thickBot="1" x14ac:dyDescent="0.3">
      <c r="A17" s="894"/>
      <c r="B17" s="895"/>
      <c r="C17" s="895"/>
      <c r="D17" s="895"/>
      <c r="E17" s="895"/>
      <c r="F17" s="895"/>
      <c r="G17" s="895"/>
      <c r="H17" s="895"/>
      <c r="I17" s="895"/>
      <c r="J17" s="895"/>
      <c r="K17" s="895"/>
      <c r="L17" s="895"/>
      <c r="M17" s="895"/>
      <c r="N17" s="895"/>
      <c r="O17" s="895"/>
      <c r="P17" s="895"/>
      <c r="Q17" s="895"/>
      <c r="R17" s="895"/>
      <c r="S17" s="896"/>
      <c r="V17" s="204"/>
      <c r="X17" s="204"/>
      <c r="Y17" s="204"/>
    </row>
    <row r="18" spans="1:25" ht="16.5" customHeight="1" thickTop="1" x14ac:dyDescent="0.25">
      <c r="A18" s="897" t="s">
        <v>413</v>
      </c>
      <c r="B18" s="898"/>
      <c r="C18" s="898"/>
      <c r="D18" s="898"/>
      <c r="E18" s="898"/>
      <c r="F18" s="898"/>
      <c r="G18" s="898"/>
      <c r="H18" s="898"/>
      <c r="I18" s="898"/>
      <c r="J18" s="898"/>
      <c r="K18" s="898"/>
      <c r="L18" s="898"/>
      <c r="M18" s="898"/>
      <c r="N18" s="898"/>
      <c r="O18" s="898"/>
      <c r="P18" s="898"/>
      <c r="Q18" s="898"/>
      <c r="R18" s="898"/>
      <c r="S18" s="899"/>
      <c r="V18" s="204"/>
      <c r="X18" s="204"/>
      <c r="Y18" s="204"/>
    </row>
    <row r="19" spans="1:25" ht="15.75" thickBot="1" x14ac:dyDescent="0.3">
      <c r="A19" s="900"/>
      <c r="B19" s="901"/>
      <c r="C19" s="901"/>
      <c r="D19" s="901"/>
      <c r="E19" s="901"/>
      <c r="F19" s="901"/>
      <c r="G19" s="901"/>
      <c r="H19" s="901"/>
      <c r="I19" s="901"/>
      <c r="J19" s="901"/>
      <c r="K19" s="901"/>
      <c r="L19" s="901"/>
      <c r="M19" s="901"/>
      <c r="N19" s="901"/>
      <c r="O19" s="901"/>
      <c r="P19" s="901"/>
      <c r="Q19" s="901"/>
      <c r="R19" s="901"/>
      <c r="S19" s="902"/>
    </row>
    <row r="20" spans="1:25" ht="17.25" thickTop="1" thickBot="1" x14ac:dyDescent="0.3">
      <c r="A20" s="729" t="s">
        <v>414</v>
      </c>
      <c r="B20" s="730">
        <f t="shared" ref="B20:J20" si="3">B8+B12+B16</f>
        <v>405431</v>
      </c>
      <c r="C20" s="730">
        <f t="shared" si="3"/>
        <v>168758</v>
      </c>
      <c r="D20" s="730">
        <f t="shared" si="3"/>
        <v>859707</v>
      </c>
      <c r="E20" s="730">
        <f t="shared" si="3"/>
        <v>1327171.5700000003</v>
      </c>
      <c r="F20" s="730">
        <f t="shared" si="3"/>
        <v>208476</v>
      </c>
      <c r="G20" s="730">
        <f t="shared" si="3"/>
        <v>94499.800000000745</v>
      </c>
      <c r="H20" s="730">
        <f t="shared" si="3"/>
        <v>191581.05999999959</v>
      </c>
      <c r="I20" s="730">
        <f t="shared" si="3"/>
        <v>1058427</v>
      </c>
      <c r="J20" s="731">
        <f t="shared" si="3"/>
        <v>347131.83999999729</v>
      </c>
      <c r="K20" s="731">
        <f>K8+K12+K16</f>
        <v>697889.60999999987</v>
      </c>
      <c r="L20" s="731">
        <f>L8+L12+L16</f>
        <v>619528.0200000006</v>
      </c>
      <c r="M20" s="731">
        <f>M8+M12+M16</f>
        <v>1496254.8000000026</v>
      </c>
      <c r="N20" s="730">
        <f>N8+N12+N16</f>
        <v>1355042.8900000006</v>
      </c>
      <c r="O20" s="730">
        <f>O8+O12+O16</f>
        <v>0</v>
      </c>
      <c r="P20" s="732">
        <f>P16+P12+P8</f>
        <v>0</v>
      </c>
      <c r="Q20" s="730"/>
      <c r="R20" s="733">
        <f>R16+R12+R8</f>
        <v>0</v>
      </c>
      <c r="S20" s="734">
        <f>S16+S12+S8</f>
        <v>0</v>
      </c>
    </row>
    <row r="21" spans="1:25" ht="15.75" thickTop="1" x14ac:dyDescent="0.25">
      <c r="W21" s="204"/>
    </row>
    <row r="22" spans="1:25" x14ac:dyDescent="0.25">
      <c r="V22" s="204"/>
    </row>
    <row r="23" spans="1:25" ht="12.75" customHeight="1" x14ac:dyDescent="0.25">
      <c r="P23" s="735"/>
      <c r="R23" s="735"/>
      <c r="S23" s="735"/>
      <c r="W23" s="204"/>
    </row>
    <row r="24" spans="1:25" ht="15.75" customHeight="1" x14ac:dyDescent="0.25">
      <c r="P24" s="735"/>
      <c r="Q24" s="204"/>
      <c r="R24" s="735"/>
      <c r="S24" s="735"/>
    </row>
    <row r="25" spans="1:25" ht="15.75" x14ac:dyDescent="0.25">
      <c r="K25" s="204"/>
      <c r="M25" s="204"/>
      <c r="N25" s="204"/>
      <c r="O25" s="204"/>
      <c r="P25" s="204"/>
      <c r="R25" s="735"/>
      <c r="S25" s="735"/>
    </row>
    <row r="26" spans="1:25" ht="15.75" x14ac:dyDescent="0.25">
      <c r="R26" s="735"/>
      <c r="S26" s="735"/>
    </row>
    <row r="28" spans="1:25" x14ac:dyDescent="0.25">
      <c r="P28" s="204"/>
    </row>
    <row r="29" spans="1:25" x14ac:dyDescent="0.25">
      <c r="P29" s="204"/>
    </row>
    <row r="31" spans="1:25" ht="15.75" x14ac:dyDescent="0.25">
      <c r="J31" s="736"/>
      <c r="P31" s="204"/>
      <c r="Q31" s="204"/>
      <c r="R31" s="204"/>
      <c r="S31" s="204"/>
    </row>
    <row r="32" spans="1:25" x14ac:dyDescent="0.25">
      <c r="P32" s="204"/>
      <c r="Q32" s="204"/>
      <c r="R32" s="204"/>
      <c r="S32" s="204"/>
    </row>
    <row r="34" spans="10:25" x14ac:dyDescent="0.25">
      <c r="J34" s="204"/>
    </row>
    <row r="35" spans="10:25" x14ac:dyDescent="0.25">
      <c r="S35" s="737"/>
    </row>
    <row r="38" spans="10:25" x14ac:dyDescent="0.25">
      <c r="P38" s="204"/>
      <c r="Q38" s="204"/>
      <c r="R38" s="204"/>
      <c r="S38" s="204"/>
    </row>
    <row r="41" spans="10:25" x14ac:dyDescent="0.25">
      <c r="W41" s="204"/>
      <c r="X41" s="204"/>
      <c r="Y41" s="204"/>
    </row>
    <row r="47" spans="10:25" x14ac:dyDescent="0.25">
      <c r="P47" s="204"/>
      <c r="Q47" s="204"/>
      <c r="R47" s="204"/>
      <c r="S47" s="204"/>
    </row>
    <row r="54" spans="16:18" x14ac:dyDescent="0.25">
      <c r="P54" t="s">
        <v>430</v>
      </c>
      <c r="Q54" t="s">
        <v>431</v>
      </c>
      <c r="R54" t="s">
        <v>432</v>
      </c>
    </row>
    <row r="62" spans="16:18" x14ac:dyDescent="0.25">
      <c r="P62" s="204">
        <f>P6+P10+P14</f>
        <v>14896153</v>
      </c>
      <c r="Q62" s="204">
        <f>R6+R10+R14</f>
        <v>12360557</v>
      </c>
      <c r="R62" s="204">
        <f>S6+S10+S14</f>
        <v>12389984</v>
      </c>
    </row>
    <row r="63" spans="16:18" x14ac:dyDescent="0.25">
      <c r="P63" s="204">
        <f>P7+P11+P15</f>
        <v>14896153</v>
      </c>
      <c r="Q63" s="204">
        <f>R7+R11+R15</f>
        <v>12360557</v>
      </c>
      <c r="R63" s="204">
        <f>S7+S11+S15</f>
        <v>12389984</v>
      </c>
    </row>
    <row r="67" spans="1:18" x14ac:dyDescent="0.25">
      <c r="P67">
        <v>13142249</v>
      </c>
      <c r="Q67">
        <v>11999708</v>
      </c>
      <c r="R67">
        <v>12340654</v>
      </c>
    </row>
    <row r="68" spans="1:18" x14ac:dyDescent="0.25">
      <c r="P68">
        <v>13142249</v>
      </c>
      <c r="Q68">
        <v>11999708</v>
      </c>
      <c r="R68">
        <v>12340654</v>
      </c>
    </row>
    <row r="69" spans="1:18" x14ac:dyDescent="0.25">
      <c r="J69">
        <f>SUM(J55:J68)</f>
        <v>0</v>
      </c>
    </row>
    <row r="70" spans="1:18" x14ac:dyDescent="0.25">
      <c r="P70" s="204">
        <f t="shared" ref="P70:R71" si="4">P62-P67</f>
        <v>1753904</v>
      </c>
      <c r="Q70" s="204">
        <f t="shared" si="4"/>
        <v>360849</v>
      </c>
      <c r="R70" s="204">
        <f t="shared" si="4"/>
        <v>49330</v>
      </c>
    </row>
    <row r="71" spans="1:18" x14ac:dyDescent="0.25">
      <c r="P71" s="204">
        <f t="shared" si="4"/>
        <v>1753904</v>
      </c>
      <c r="Q71" s="204">
        <f t="shared" si="4"/>
        <v>360849</v>
      </c>
      <c r="R71" s="204">
        <f t="shared" si="4"/>
        <v>49330</v>
      </c>
    </row>
    <row r="73" spans="1:18" x14ac:dyDescent="0.25">
      <c r="A73" s="738" t="s">
        <v>433</v>
      </c>
      <c r="J73">
        <v>12000</v>
      </c>
    </row>
    <row r="74" spans="1:18" x14ac:dyDescent="0.25">
      <c r="J74">
        <v>5000</v>
      </c>
    </row>
    <row r="75" spans="1:18" x14ac:dyDescent="0.25">
      <c r="J75">
        <v>5000</v>
      </c>
    </row>
    <row r="76" spans="1:18" x14ac:dyDescent="0.25">
      <c r="J76">
        <v>7000</v>
      </c>
    </row>
    <row r="82" spans="10:10" x14ac:dyDescent="0.25">
      <c r="J82">
        <f>SUM(J73:J81)</f>
        <v>29000</v>
      </c>
    </row>
  </sheetData>
  <mergeCells count="24">
    <mergeCell ref="A1:S1"/>
    <mergeCell ref="R3:R5"/>
    <mergeCell ref="S3:S5"/>
    <mergeCell ref="A9:S9"/>
    <mergeCell ref="A13:S13"/>
    <mergeCell ref="P3:P5"/>
    <mergeCell ref="Q3:Q5"/>
    <mergeCell ref="O3:O5"/>
    <mergeCell ref="A17:S17"/>
    <mergeCell ref="A18:S19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F34" sqref="F34"/>
    </sheetView>
  </sheetViews>
  <sheetFormatPr defaultRowHeight="15" x14ac:dyDescent="0.25"/>
  <cols>
    <col min="1" max="1" width="40.42578125" customWidth="1"/>
    <col min="2" max="2" width="12.42578125" customWidth="1"/>
    <col min="3" max="6" width="10.85546875" customWidth="1"/>
    <col min="7" max="7" width="11.7109375" customWidth="1"/>
    <col min="8" max="10" width="10.85546875" customWidth="1"/>
    <col min="11" max="11" width="11.28515625" customWidth="1"/>
  </cols>
  <sheetData>
    <row r="1" spans="1:13" ht="16.5" customHeight="1" thickTop="1" thickBot="1" x14ac:dyDescent="0.3">
      <c r="A1" s="912" t="s">
        <v>121</v>
      </c>
      <c r="B1" s="914" t="s">
        <v>17</v>
      </c>
      <c r="C1" s="916" t="s">
        <v>415</v>
      </c>
      <c r="D1" s="916"/>
      <c r="E1" s="916"/>
      <c r="F1" s="916"/>
      <c r="G1" s="916"/>
      <c r="H1" s="916"/>
      <c r="I1" s="916"/>
      <c r="J1" s="916"/>
      <c r="K1" s="917" t="s">
        <v>416</v>
      </c>
    </row>
    <row r="2" spans="1:13" ht="39" thickBot="1" x14ac:dyDescent="0.3">
      <c r="A2" s="913"/>
      <c r="B2" s="915"/>
      <c r="C2" s="599" t="s">
        <v>417</v>
      </c>
      <c r="D2" s="600" t="s">
        <v>418</v>
      </c>
      <c r="E2" s="600" t="s">
        <v>419</v>
      </c>
      <c r="F2" s="600" t="s">
        <v>420</v>
      </c>
      <c r="G2" s="600" t="s">
        <v>421</v>
      </c>
      <c r="H2" s="600" t="s">
        <v>422</v>
      </c>
      <c r="I2" s="600" t="s">
        <v>423</v>
      </c>
      <c r="J2" s="600" t="s">
        <v>424</v>
      </c>
      <c r="K2" s="918"/>
    </row>
    <row r="3" spans="1:13" ht="15.75" thickTop="1" x14ac:dyDescent="0.25">
      <c r="A3" s="601" t="s">
        <v>433</v>
      </c>
      <c r="B3" s="76">
        <v>25019</v>
      </c>
      <c r="C3" s="76">
        <v>381</v>
      </c>
      <c r="D3" s="76"/>
      <c r="E3" s="76"/>
      <c r="F3" s="76"/>
      <c r="G3" s="76"/>
      <c r="H3" s="76">
        <f>25002-364</f>
        <v>24638</v>
      </c>
      <c r="I3" s="76"/>
      <c r="J3" s="76"/>
      <c r="K3" s="395">
        <f t="shared" ref="K3:K23" si="0">SUM(C3:J3)</f>
        <v>25019</v>
      </c>
      <c r="M3" s="204"/>
    </row>
    <row r="4" spans="1:13" x14ac:dyDescent="0.25">
      <c r="A4" s="601" t="s">
        <v>319</v>
      </c>
      <c r="B4" s="76">
        <v>920128</v>
      </c>
      <c r="C4" s="76"/>
      <c r="D4" s="76"/>
      <c r="E4" s="76"/>
      <c r="F4" s="76"/>
      <c r="G4" s="76">
        <f>465346+354654+6800+93328</f>
        <v>920128</v>
      </c>
      <c r="H4" s="76"/>
      <c r="I4" s="76"/>
      <c r="J4" s="76"/>
      <c r="K4" s="395">
        <f t="shared" si="0"/>
        <v>920128</v>
      </c>
      <c r="M4" s="204"/>
    </row>
    <row r="5" spans="1:13" x14ac:dyDescent="0.25">
      <c r="A5" s="601" t="s">
        <v>334</v>
      </c>
      <c r="B5" s="76">
        <v>341934</v>
      </c>
      <c r="C5" s="76"/>
      <c r="D5" s="76"/>
      <c r="E5" s="76"/>
      <c r="F5" s="76">
        <v>100000</v>
      </c>
      <c r="G5" s="76">
        <v>50000</v>
      </c>
      <c r="H5" s="76">
        <v>8000</v>
      </c>
      <c r="I5" s="76"/>
      <c r="J5" s="76">
        <v>183934</v>
      </c>
      <c r="K5" s="395">
        <f t="shared" si="0"/>
        <v>341934</v>
      </c>
      <c r="M5" s="204"/>
    </row>
    <row r="6" spans="1:13" x14ac:dyDescent="0.25">
      <c r="A6" s="601" t="s">
        <v>346</v>
      </c>
      <c r="B6" s="76">
        <v>35000</v>
      </c>
      <c r="C6" s="76"/>
      <c r="D6" s="76"/>
      <c r="E6" s="76"/>
      <c r="F6" s="76"/>
      <c r="G6" s="76"/>
      <c r="H6" s="76">
        <v>26105</v>
      </c>
      <c r="I6" s="76"/>
      <c r="J6" s="76">
        <v>8895</v>
      </c>
      <c r="K6" s="395">
        <f t="shared" si="0"/>
        <v>35000</v>
      </c>
      <c r="M6" s="204"/>
    </row>
    <row r="7" spans="1:13" x14ac:dyDescent="0.25">
      <c r="A7" s="601" t="s">
        <v>358</v>
      </c>
      <c r="B7" s="76">
        <v>167000</v>
      </c>
      <c r="C7" s="76"/>
      <c r="D7" s="76"/>
      <c r="E7" s="76"/>
      <c r="F7" s="76"/>
      <c r="G7" s="76"/>
      <c r="H7" s="76"/>
      <c r="I7" s="76"/>
      <c r="J7" s="76">
        <v>167000</v>
      </c>
      <c r="K7" s="395">
        <f t="shared" si="0"/>
        <v>167000</v>
      </c>
      <c r="M7" s="204"/>
    </row>
    <row r="8" spans="1:13" x14ac:dyDescent="0.25">
      <c r="A8" s="601" t="s">
        <v>360</v>
      </c>
      <c r="B8" s="76">
        <v>273693</v>
      </c>
      <c r="C8" s="76"/>
      <c r="D8" s="76"/>
      <c r="E8" s="76"/>
      <c r="F8" s="76"/>
      <c r="G8" s="76"/>
      <c r="H8" s="76">
        <f>2340+1800+29012</f>
        <v>33152</v>
      </c>
      <c r="I8" s="76">
        <v>240541</v>
      </c>
      <c r="J8" s="76"/>
      <c r="K8" s="395">
        <f t="shared" si="0"/>
        <v>273693</v>
      </c>
      <c r="M8" s="204"/>
    </row>
    <row r="9" spans="1:13" x14ac:dyDescent="0.25">
      <c r="A9" s="601" t="s">
        <v>361</v>
      </c>
      <c r="B9" s="76">
        <v>24000</v>
      </c>
      <c r="C9" s="76"/>
      <c r="D9" s="76"/>
      <c r="E9" s="76"/>
      <c r="F9" s="76"/>
      <c r="G9" s="76">
        <v>8000</v>
      </c>
      <c r="H9" s="76">
        <v>6000</v>
      </c>
      <c r="I9" s="76"/>
      <c r="J9" s="76">
        <v>10000</v>
      </c>
      <c r="K9" s="395">
        <f t="shared" si="0"/>
        <v>24000</v>
      </c>
      <c r="M9" s="204"/>
    </row>
    <row r="10" spans="1:13" x14ac:dyDescent="0.25">
      <c r="A10" s="601" t="s">
        <v>362</v>
      </c>
      <c r="B10" s="76">
        <v>97410</v>
      </c>
      <c r="C10" s="76"/>
      <c r="D10" s="76"/>
      <c r="E10" s="76"/>
      <c r="F10" s="76"/>
      <c r="G10" s="76"/>
      <c r="H10" s="76"/>
      <c r="I10" s="76"/>
      <c r="J10" s="76">
        <v>97410</v>
      </c>
      <c r="K10" s="395">
        <f t="shared" si="0"/>
        <v>97410</v>
      </c>
      <c r="M10" s="204"/>
    </row>
    <row r="11" spans="1:13" x14ac:dyDescent="0.25">
      <c r="A11" s="601" t="s">
        <v>363</v>
      </c>
      <c r="B11" s="76">
        <v>367143</v>
      </c>
      <c r="C11" s="76"/>
      <c r="D11" s="76"/>
      <c r="E11" s="76"/>
      <c r="F11" s="76"/>
      <c r="G11" s="76">
        <v>170000</v>
      </c>
      <c r="H11" s="76"/>
      <c r="I11" s="76"/>
      <c r="J11" s="76">
        <v>197143</v>
      </c>
      <c r="K11" s="395">
        <f t="shared" si="0"/>
        <v>367143</v>
      </c>
      <c r="M11" s="204"/>
    </row>
    <row r="12" spans="1:13" x14ac:dyDescent="0.25">
      <c r="A12" s="601" t="s">
        <v>379</v>
      </c>
      <c r="B12" s="76">
        <v>34975</v>
      </c>
      <c r="C12" s="76"/>
      <c r="D12" s="76"/>
      <c r="E12" s="76"/>
      <c r="F12" s="76"/>
      <c r="G12" s="76"/>
      <c r="H12" s="76"/>
      <c r="I12" s="76"/>
      <c r="J12" s="76">
        <v>34975</v>
      </c>
      <c r="K12" s="395">
        <f t="shared" si="0"/>
        <v>34975</v>
      </c>
      <c r="M12" s="204"/>
    </row>
    <row r="13" spans="1:13" x14ac:dyDescent="0.25">
      <c r="A13" s="601" t="s">
        <v>381</v>
      </c>
      <c r="B13" s="27">
        <v>11560</v>
      </c>
      <c r="C13" s="27"/>
      <c r="D13" s="27"/>
      <c r="E13" s="27"/>
      <c r="F13" s="27"/>
      <c r="G13" s="27"/>
      <c r="H13" s="27">
        <v>4160</v>
      </c>
      <c r="I13" s="27"/>
      <c r="J13" s="27">
        <f>7400</f>
        <v>7400</v>
      </c>
      <c r="K13" s="421">
        <f t="shared" si="0"/>
        <v>11560</v>
      </c>
      <c r="M13" s="204"/>
    </row>
    <row r="14" spans="1:13" x14ac:dyDescent="0.25">
      <c r="A14" s="601" t="s">
        <v>364</v>
      </c>
      <c r="B14" s="63">
        <v>1292</v>
      </c>
      <c r="C14" s="63">
        <v>1292</v>
      </c>
      <c r="D14" s="63"/>
      <c r="E14" s="63"/>
      <c r="F14" s="63"/>
      <c r="G14" s="63"/>
      <c r="H14" s="63"/>
      <c r="I14" s="63"/>
      <c r="J14" s="63"/>
      <c r="K14" s="421">
        <f t="shared" si="0"/>
        <v>1292</v>
      </c>
      <c r="M14" s="204"/>
    </row>
    <row r="15" spans="1:13" x14ac:dyDescent="0.25">
      <c r="A15" s="601" t="s">
        <v>380</v>
      </c>
      <c r="B15" s="63">
        <v>11154</v>
      </c>
      <c r="C15" s="63"/>
      <c r="D15" s="63"/>
      <c r="E15" s="63"/>
      <c r="F15" s="63"/>
      <c r="G15" s="63"/>
      <c r="H15" s="63">
        <v>11154</v>
      </c>
      <c r="I15" s="63"/>
      <c r="J15" s="63"/>
      <c r="K15" s="421">
        <f t="shared" si="0"/>
        <v>11154</v>
      </c>
      <c r="M15" s="204"/>
    </row>
    <row r="16" spans="1:13" x14ac:dyDescent="0.25">
      <c r="A16" s="601" t="s">
        <v>378</v>
      </c>
      <c r="B16" s="63">
        <v>113373</v>
      </c>
      <c r="C16" s="63"/>
      <c r="D16" s="63"/>
      <c r="E16" s="63"/>
      <c r="F16" s="63">
        <v>50000</v>
      </c>
      <c r="G16" s="63">
        <v>63373</v>
      </c>
      <c r="H16" s="63"/>
      <c r="I16" s="63"/>
      <c r="J16" s="63"/>
      <c r="K16" s="421">
        <f t="shared" si="0"/>
        <v>113373</v>
      </c>
      <c r="M16" s="204"/>
    </row>
    <row r="17" spans="1:13" x14ac:dyDescent="0.25">
      <c r="A17" s="601" t="s">
        <v>335</v>
      </c>
      <c r="B17" s="63">
        <v>37200</v>
      </c>
      <c r="C17" s="63"/>
      <c r="D17" s="63"/>
      <c r="E17" s="63"/>
      <c r="F17" s="63"/>
      <c r="G17" s="63"/>
      <c r="H17" s="63"/>
      <c r="I17" s="63"/>
      <c r="J17" s="63">
        <v>37200</v>
      </c>
      <c r="K17" s="421">
        <f t="shared" si="0"/>
        <v>37200</v>
      </c>
      <c r="M17" s="204"/>
    </row>
    <row r="18" spans="1:13" x14ac:dyDescent="0.25">
      <c r="A18" s="601" t="s">
        <v>365</v>
      </c>
      <c r="B18" s="63">
        <v>27991</v>
      </c>
      <c r="C18" s="63"/>
      <c r="D18" s="63"/>
      <c r="E18" s="63"/>
      <c r="F18" s="63"/>
      <c r="G18" s="63"/>
      <c r="H18" s="63">
        <v>27991</v>
      </c>
      <c r="I18" s="63"/>
      <c r="J18" s="63"/>
      <c r="K18" s="421">
        <f t="shared" si="0"/>
        <v>27991</v>
      </c>
      <c r="M18" s="204"/>
    </row>
    <row r="19" spans="1:13" x14ac:dyDescent="0.25">
      <c r="A19" s="601" t="s">
        <v>366</v>
      </c>
      <c r="B19" s="63">
        <v>1104</v>
      </c>
      <c r="C19" s="63"/>
      <c r="D19" s="63"/>
      <c r="E19" s="63"/>
      <c r="F19" s="63"/>
      <c r="G19" s="63"/>
      <c r="H19" s="63">
        <v>1104</v>
      </c>
      <c r="I19" s="63"/>
      <c r="J19" s="63"/>
      <c r="K19" s="421">
        <f t="shared" si="0"/>
        <v>1104</v>
      </c>
      <c r="M19" s="204"/>
    </row>
    <row r="20" spans="1:13" x14ac:dyDescent="0.25">
      <c r="A20" s="601" t="s">
        <v>367</v>
      </c>
      <c r="B20" s="63">
        <v>65456</v>
      </c>
      <c r="C20" s="63"/>
      <c r="D20" s="63"/>
      <c r="E20" s="63"/>
      <c r="F20" s="63"/>
      <c r="G20" s="63">
        <v>65456</v>
      </c>
      <c r="H20" s="63"/>
      <c r="I20" s="63"/>
      <c r="J20" s="63"/>
      <c r="K20" s="421">
        <f t="shared" si="0"/>
        <v>65456</v>
      </c>
      <c r="M20" s="204"/>
    </row>
    <row r="21" spans="1:13" x14ac:dyDescent="0.25">
      <c r="A21" s="601" t="s">
        <v>428</v>
      </c>
      <c r="B21" s="63">
        <v>10000</v>
      </c>
      <c r="C21" s="63"/>
      <c r="D21" s="63">
        <v>10000</v>
      </c>
      <c r="E21" s="63"/>
      <c r="F21" s="63"/>
      <c r="G21" s="63"/>
      <c r="H21" s="63"/>
      <c r="I21" s="63"/>
      <c r="J21" s="63"/>
      <c r="K21" s="421">
        <f>SUM(C21:J21)</f>
        <v>10000</v>
      </c>
    </row>
    <row r="22" spans="1:13" x14ac:dyDescent="0.25">
      <c r="A22" s="601"/>
      <c r="B22" s="63"/>
      <c r="C22" s="63"/>
      <c r="D22" s="63"/>
      <c r="E22" s="63"/>
      <c r="F22" s="63"/>
      <c r="G22" s="63"/>
      <c r="H22" s="63"/>
      <c r="I22" s="63"/>
      <c r="J22" s="63"/>
      <c r="K22" s="421">
        <f t="shared" si="0"/>
        <v>0</v>
      </c>
    </row>
    <row r="23" spans="1:13" ht="15.75" thickBot="1" x14ac:dyDescent="0.3">
      <c r="A23" s="601"/>
      <c r="B23" s="63"/>
      <c r="C23" s="63"/>
      <c r="D23" s="63"/>
      <c r="E23" s="63"/>
      <c r="F23" s="63"/>
      <c r="G23" s="63"/>
      <c r="H23" s="63"/>
      <c r="I23" s="63"/>
      <c r="J23" s="63"/>
      <c r="K23" s="421">
        <f t="shared" si="0"/>
        <v>0</v>
      </c>
    </row>
    <row r="24" spans="1:13" ht="17.25" thickTop="1" thickBot="1" x14ac:dyDescent="0.3">
      <c r="A24" s="602" t="s">
        <v>425</v>
      </c>
      <c r="B24" s="603">
        <f>SUM(B3:B23)</f>
        <v>2565432</v>
      </c>
      <c r="C24" s="603">
        <f t="shared" ref="C24:I24" si="1">SUM(C3:C23)</f>
        <v>1673</v>
      </c>
      <c r="D24" s="603">
        <f t="shared" si="1"/>
        <v>10000</v>
      </c>
      <c r="E24" s="603">
        <f t="shared" si="1"/>
        <v>0</v>
      </c>
      <c r="F24" s="603">
        <f t="shared" si="1"/>
        <v>150000</v>
      </c>
      <c r="G24" s="603">
        <f t="shared" si="1"/>
        <v>1276957</v>
      </c>
      <c r="H24" s="603">
        <f t="shared" si="1"/>
        <v>142304</v>
      </c>
      <c r="I24" s="603">
        <f t="shared" si="1"/>
        <v>240541</v>
      </c>
      <c r="J24" s="603">
        <f>SUM(J3:J23)</f>
        <v>743957</v>
      </c>
      <c r="K24" s="604">
        <f>SUM(K3:K23)</f>
        <v>2565432</v>
      </c>
    </row>
    <row r="25" spans="1:13" ht="15.75" thickTop="1" x14ac:dyDescent="0.25"/>
  </sheetData>
  <mergeCells count="4">
    <mergeCell ref="A1:A2"/>
    <mergeCell ref="B1:B2"/>
    <mergeCell ref="C1:J1"/>
    <mergeCell ref="K1:K2"/>
  </mergeCells>
  <pageMargins left="0.7" right="0.7" top="0.75" bottom="0.75" header="0.3" footer="0.3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8</vt:i4>
      </vt:variant>
    </vt:vector>
  </HeadingPairs>
  <TitlesOfParts>
    <vt:vector size="8" baseType="lpstr">
      <vt:lpstr>Bežné príjmy</vt:lpstr>
      <vt:lpstr>bežné výdavky</vt:lpstr>
      <vt:lpstr>Kapitálové príjmy</vt:lpstr>
      <vt:lpstr>Kapitálové výdavky</vt:lpstr>
      <vt:lpstr>Fin operácie - príjmy</vt:lpstr>
      <vt:lpstr>Finančné operácie - výdavky</vt:lpstr>
      <vt:lpstr>HOSP.</vt:lpstr>
      <vt:lpstr>Zdroje krytia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kamenicky</dc:creator>
  <cp:lastModifiedBy>kamenicky</cp:lastModifiedBy>
  <cp:lastPrinted>2019-12-06T10:10:40Z</cp:lastPrinted>
  <dcterms:created xsi:type="dcterms:W3CDTF">2019-11-29T12:22:49Z</dcterms:created>
  <dcterms:modified xsi:type="dcterms:W3CDTF">2019-12-09T07:17:20Z</dcterms:modified>
</cp:coreProperties>
</file>